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480" windowHeight="9015" tabRatio="848" activeTab="4"/>
  </bookViews>
  <sheets>
    <sheet name="bảng điểm thi học sinh giỏi" sheetId="1" r:id="rId1"/>
    <sheet name="bảng quản li lương" sheetId="2" r:id="rId2"/>
    <sheet name="bảng thống kê hàng hóa" sheetId="3" r:id="rId3"/>
    <sheet name="bảng điểm học bổng" sheetId="4" r:id="rId4"/>
    <sheet name="HV CLUB" sheetId="5" r:id="rId5"/>
  </sheets>
  <definedNames>
    <definedName name="_xlnm._FilterDatabase" localSheetId="3" hidden="1">'bảng điểm học bổng'!$A$8:$J$16</definedName>
    <definedName name="_xlnm._FilterDatabase" localSheetId="2" hidden="1">'bảng thống kê hàng hóa'!$A$6:$J$11</definedName>
    <definedName name="_xlnm.Criteria" localSheetId="2">'bảng thống kê hàng hóa'!$E$7:$E$11</definedName>
  </definedNames>
  <calcPr calcId="145621"/>
</workbook>
</file>

<file path=xl/calcChain.xml><?xml version="1.0" encoding="utf-8"?>
<calcChain xmlns="http://schemas.openxmlformats.org/spreadsheetml/2006/main">
  <c r="L6" i="5" l="1"/>
  <c r="L5" i="2"/>
  <c r="M5" i="2" s="1"/>
  <c r="H5" i="2"/>
  <c r="K5" i="2"/>
  <c r="I6" i="2"/>
  <c r="I2" i="1"/>
  <c r="J2" i="1" s="1"/>
  <c r="H2" i="1"/>
  <c r="K2" i="1"/>
  <c r="H17" i="5"/>
  <c r="G6" i="5"/>
  <c r="G7" i="5"/>
  <c r="G8" i="5"/>
  <c r="G9" i="5"/>
  <c r="G10" i="5"/>
  <c r="G11" i="5"/>
  <c r="G12" i="5"/>
  <c r="G13" i="5"/>
  <c r="G14" i="5"/>
  <c r="G15" i="5"/>
  <c r="G4" i="4"/>
  <c r="G6" i="4"/>
  <c r="G5" i="4"/>
  <c r="C9" i="4"/>
  <c r="G9" i="4"/>
  <c r="H9" i="4" s="1"/>
  <c r="C10" i="4"/>
  <c r="G10" i="4" s="1"/>
  <c r="H10" i="4" s="1"/>
  <c r="I10" i="4" s="1"/>
  <c r="C11" i="4"/>
  <c r="C12" i="4"/>
  <c r="G12" i="4" s="1"/>
  <c r="H12" i="4" s="1"/>
  <c r="I12" i="4" s="1"/>
  <c r="C13" i="4"/>
  <c r="G13" i="4"/>
  <c r="H13" i="4" s="1"/>
  <c r="I13" i="4" s="1"/>
  <c r="C14" i="4"/>
  <c r="G14" i="4"/>
  <c r="H14" i="4" s="1"/>
  <c r="I14" i="4" s="1"/>
  <c r="C15" i="4"/>
  <c r="G11" i="4"/>
  <c r="H11" i="4"/>
  <c r="I11" i="4" s="1"/>
  <c r="G15" i="4"/>
  <c r="H15" i="4" s="1"/>
  <c r="I15" i="4" s="1"/>
  <c r="L6" i="2"/>
  <c r="M6" i="2"/>
  <c r="L7" i="2"/>
  <c r="M7" i="2"/>
  <c r="L8" i="2"/>
  <c r="L9" i="2"/>
  <c r="M9" i="2" s="1"/>
  <c r="L10" i="2"/>
  <c r="M10" i="2" s="1"/>
  <c r="H15" i="2"/>
  <c r="I5" i="2"/>
  <c r="G7" i="3"/>
  <c r="F7" i="3"/>
  <c r="F11" i="3"/>
  <c r="G11" i="3"/>
  <c r="H11" i="3"/>
  <c r="I11" i="3" s="1"/>
  <c r="J11" i="3" s="1"/>
  <c r="F10" i="3"/>
  <c r="G10" i="3"/>
  <c r="H10" i="3" s="1"/>
  <c r="I10" i="3" s="1"/>
  <c r="J10" i="3" s="1"/>
  <c r="F9" i="3"/>
  <c r="G9" i="3"/>
  <c r="H9" i="3"/>
  <c r="I9" i="3" s="1"/>
  <c r="J9" i="3" s="1"/>
  <c r="F8" i="3"/>
  <c r="G8" i="3"/>
  <c r="H8" i="3" s="1"/>
  <c r="I8" i="3" s="1"/>
  <c r="J8" i="3" s="1"/>
  <c r="H7" i="3"/>
  <c r="I7" i="3" s="1"/>
  <c r="J7" i="3" s="1"/>
  <c r="E12" i="1"/>
  <c r="E11" i="1"/>
  <c r="F10" i="1"/>
  <c r="E10" i="1"/>
  <c r="C16" i="4"/>
  <c r="M8" i="2"/>
  <c r="I10" i="2"/>
  <c r="I7" i="2"/>
  <c r="I8" i="2"/>
  <c r="I9" i="2"/>
  <c r="H6" i="2"/>
  <c r="K6" i="2" s="1"/>
  <c r="H7" i="2"/>
  <c r="K7" i="2" s="1"/>
  <c r="H8" i="2"/>
  <c r="J8" i="2" s="1"/>
  <c r="H9" i="2"/>
  <c r="K9" i="2" s="1"/>
  <c r="H10" i="2"/>
  <c r="K10" i="2" s="1"/>
  <c r="I3" i="1"/>
  <c r="I4" i="1"/>
  <c r="J4" i="1" s="1"/>
  <c r="I5" i="1"/>
  <c r="K5" i="1"/>
  <c r="I6" i="1"/>
  <c r="I7" i="1"/>
  <c r="K7" i="1" s="1"/>
  <c r="I8" i="1"/>
  <c r="J8" i="1" s="1"/>
  <c r="I9" i="1"/>
  <c r="K9" i="1"/>
  <c r="H3" i="1"/>
  <c r="J3" i="1"/>
  <c r="H4" i="1"/>
  <c r="K4" i="1"/>
  <c r="H5" i="1"/>
  <c r="J5" i="1"/>
  <c r="H6" i="1"/>
  <c r="K6" i="1"/>
  <c r="H7" i="1"/>
  <c r="J7" i="1"/>
  <c r="H8" i="1"/>
  <c r="K8" i="1"/>
  <c r="H9" i="1"/>
  <c r="J9" i="1"/>
  <c r="G10" i="1"/>
  <c r="F11" i="1"/>
  <c r="G11" i="1"/>
  <c r="F12" i="1"/>
  <c r="G12" i="1"/>
  <c r="J5" i="2"/>
  <c r="J7" i="2"/>
  <c r="J6" i="1"/>
  <c r="K3" i="1"/>
  <c r="I14" i="3" l="1"/>
  <c r="I15" i="3"/>
  <c r="I13" i="3"/>
  <c r="I9" i="4"/>
  <c r="H6" i="4" s="1"/>
  <c r="K8" i="2"/>
  <c r="J9" i="2"/>
  <c r="J10" i="2"/>
  <c r="J6" i="2"/>
  <c r="H4" i="4" l="1"/>
  <c r="H5" i="4"/>
</calcChain>
</file>

<file path=xl/sharedStrings.xml><?xml version="1.0" encoding="utf-8"?>
<sst xmlns="http://schemas.openxmlformats.org/spreadsheetml/2006/main" count="246" uniqueCount="190">
  <si>
    <t>STT</t>
  </si>
  <si>
    <t>HỌ ĐỆM</t>
  </si>
  <si>
    <t>TÊN</t>
  </si>
  <si>
    <t>NGÀY SINH</t>
  </si>
  <si>
    <t>TOÁN</t>
  </si>
  <si>
    <t>TIN</t>
  </si>
  <si>
    <t>ANH</t>
  </si>
  <si>
    <t>TỔNG</t>
  </si>
  <si>
    <t>TB</t>
  </si>
  <si>
    <t>XẾP THỨ</t>
  </si>
  <si>
    <t>Giang</t>
  </si>
  <si>
    <t>Khánh</t>
  </si>
  <si>
    <t>Hường</t>
  </si>
  <si>
    <t>Thắng</t>
  </si>
  <si>
    <t>Uyên</t>
  </si>
  <si>
    <t>Thanh</t>
  </si>
  <si>
    <t>Vĩnh</t>
  </si>
  <si>
    <t>Nguyễn Trọng</t>
  </si>
  <si>
    <t>Phạm Gia</t>
  </si>
  <si>
    <t>Hoàng Thiện</t>
  </si>
  <si>
    <t>Bùi Thị Tố</t>
  </si>
  <si>
    <t>Dương Mạnh</t>
  </si>
  <si>
    <t>Nguyễn Thu</t>
  </si>
  <si>
    <t>Phạm Quốc</t>
  </si>
  <si>
    <t>Đàm Thu</t>
  </si>
  <si>
    <t>Điểm tổng</t>
  </si>
  <si>
    <t>Điểm cao nhất</t>
  </si>
  <si>
    <t>Điểm thấp nhất</t>
  </si>
  <si>
    <t>XẾP LOẠI</t>
  </si>
  <si>
    <t>PHÁI</t>
  </si>
  <si>
    <t>CHỨC VỤ</t>
  </si>
  <si>
    <t>HỆ SỐ LƯƠNG</t>
  </si>
  <si>
    <t>LƯƠNG CHÍNH</t>
  </si>
  <si>
    <t>TỔNG LƯƠNG</t>
  </si>
  <si>
    <t>Lê Thị Minh</t>
  </si>
  <si>
    <t>Trần</t>
  </si>
  <si>
    <t>Lò Văn</t>
  </si>
  <si>
    <t>Lê Triệu</t>
  </si>
  <si>
    <t>Trần Anh</t>
  </si>
  <si>
    <t>Nguyễ Tuấn</t>
  </si>
  <si>
    <t>Cường</t>
  </si>
  <si>
    <t>Thư</t>
  </si>
  <si>
    <t>Chí</t>
  </si>
  <si>
    <t>Ngữ</t>
  </si>
  <si>
    <t>Tâm</t>
  </si>
  <si>
    <t>Tú</t>
  </si>
  <si>
    <t>Nữ</t>
  </si>
  <si>
    <t>Nam</t>
  </si>
  <si>
    <t>TP</t>
  </si>
  <si>
    <t>PGĐ</t>
  </si>
  <si>
    <t>GĐ</t>
  </si>
  <si>
    <t>CV</t>
  </si>
  <si>
    <t>PP</t>
  </si>
  <si>
    <t>PHỤ CẤP</t>
  </si>
  <si>
    <t>BHXH</t>
  </si>
  <si>
    <t>GHI CHÚ</t>
  </si>
  <si>
    <t>TUỔI</t>
  </si>
  <si>
    <t>MÃ HÀNG</t>
  </si>
  <si>
    <t>ĐỐI TƯỢNG</t>
  </si>
  <si>
    <t>ĐƠN GIÁ ($)</t>
  </si>
  <si>
    <t>SỐ LƯỢNG</t>
  </si>
  <si>
    <t>THUẾ NHẬP ($)</t>
  </si>
  <si>
    <t>PHÍ VC ($)</t>
  </si>
  <si>
    <t>ĐƠN GIÁ VỐN ($)</t>
  </si>
  <si>
    <t>ĐƠN GIÁ BÁN ($)</t>
  </si>
  <si>
    <t>LÃI</t>
  </si>
  <si>
    <t>A012</t>
  </si>
  <si>
    <t>B223</t>
  </si>
  <si>
    <t>C142</t>
  </si>
  <si>
    <t>B255</t>
  </si>
  <si>
    <t>A086</t>
  </si>
  <si>
    <r>
      <t>BẢNG QUY ĐINH THUẾ</t>
    </r>
    <r>
      <rPr>
        <sz val="10"/>
        <rFont val="Arial"/>
      </rPr>
      <t xml:space="preserve"> </t>
    </r>
  </si>
  <si>
    <t>Đối tượng</t>
  </si>
  <si>
    <t>thuế ($)</t>
  </si>
  <si>
    <t>BẢNG TÍNH PHÍ VC (PHí vận chuyển)</t>
  </si>
  <si>
    <t>MÃ</t>
  </si>
  <si>
    <t>Phí VC</t>
  </si>
  <si>
    <t>A</t>
  </si>
  <si>
    <t>B</t>
  </si>
  <si>
    <t>C</t>
  </si>
  <si>
    <t>BẢNG TIỀN HỌC BỔNG</t>
  </si>
  <si>
    <t xml:space="preserve">LOẠI </t>
  </si>
  <si>
    <t>MỨC HB</t>
  </si>
  <si>
    <t>D201</t>
  </si>
  <si>
    <t>D202</t>
  </si>
  <si>
    <t>N103</t>
  </si>
  <si>
    <t>D404</t>
  </si>
  <si>
    <t>D305</t>
  </si>
  <si>
    <t>N206</t>
  </si>
  <si>
    <t>N106</t>
  </si>
  <si>
    <t>HỌ TÊN</t>
  </si>
  <si>
    <t>Mai Linh</t>
  </si>
  <si>
    <t>Hoàng Anh</t>
  </si>
  <si>
    <t>Văn Mạnh</t>
  </si>
  <si>
    <t>Trí Dũng</t>
  </si>
  <si>
    <t>Tùng Minh</t>
  </si>
  <si>
    <t>Văn Tuấn</t>
  </si>
  <si>
    <t>Quốc Tuấn</t>
  </si>
  <si>
    <t>DIỆN CS</t>
  </si>
  <si>
    <t>ĐIỂM THI</t>
  </si>
  <si>
    <t>MÔN CS</t>
  </si>
  <si>
    <t>MÔN CN1</t>
  </si>
  <si>
    <t>MÔN CN2</t>
  </si>
  <si>
    <t>TỔNG ĐIỂM</t>
  </si>
  <si>
    <t>LOẠI HỌC BỔNG</t>
  </si>
  <si>
    <t>HỌC BỔNG</t>
  </si>
  <si>
    <t>text: chuỗi ký tự, hoặc ô địa chỉ chứa chuỗi ký tự</t>
  </si>
  <si>
    <t>start_num: số thự ký tự muốn lọc ra trong chuỗi ký tự tính từ trái sang phải</t>
  </si>
  <si>
    <t>num_chars: số ký tự muốn lọc ra.</t>
  </si>
  <si>
    <t>Tổng lãi những mặt hàng thuộc đt 1</t>
  </si>
  <si>
    <t>Tính trung bình tiền lãi của những mặt hàng thuộc đt 1,2,3 và số lượng &gt;=200</t>
  </si>
  <si>
    <t>Thống kê những mặt hàng có tiền lãi &gt;= 50000$</t>
  </si>
  <si>
    <t xml:space="preserve">vlookup_value: đối tượng trong bảng chính mà thông tin(dữ liệu) của nó không nằm trong bảng chính mà ở một bảng phụ khác </t>
  </si>
  <si>
    <t>col_index_num: chỉ số cột chứa dữ liệu trong vùng chứa dữ liệu của đối tượng tính từ trái sang phải</t>
  </si>
  <si>
    <t>range_lookup: cách tìm được quy ước:</t>
  </si>
  <si>
    <t>cách tìm là 1 thì đối tượng phải được sắp xếp theo thứ tự tăng dần</t>
  </si>
  <si>
    <t>cách tìm là 0 thì không yêu cầu thứ tự đối với đối tượng</t>
  </si>
  <si>
    <t>vlookup(đối tượng,vùng chứa dữ liệu cho đối tượng,cột,cách tìm)</t>
  </si>
  <si>
    <t>vlookup(vlookup_value,table_array,col_index_num,[range_lookup)_hàm dò tìm</t>
  </si>
  <si>
    <t>table_array: vùng chứa dữ liệu của đối tượng(quy địa chỉ thành tuyệt đối)</t>
  </si>
  <si>
    <t>hlookup(hlookup_value,table_array,raw_index_num,[range_lookup])</t>
  </si>
  <si>
    <t>H: Holizotal(đường chân trời)</t>
  </si>
  <si>
    <t>V: Vertical: dọc</t>
  </si>
  <si>
    <t>lãi suất 12%</t>
  </si>
  <si>
    <t>range: cột hay vùng dữ liệu cần đặt điều kiện</t>
  </si>
  <si>
    <t>criteria: điều kiện đặt ra</t>
  </si>
  <si>
    <t>sum_range: cột hay vùng dữ liệu đảm bảo điều kiện để tính tổng</t>
  </si>
  <si>
    <t>sumif(range,criteria,sum_range)_hàm tính tổng có điều kiện</t>
  </si>
  <si>
    <t>COUNTIF(range,Criteria)</t>
  </si>
  <si>
    <t>criteria: điều kiện</t>
  </si>
  <si>
    <t>mid(text,start_num,num_chars)_hàm lọc ký tự ở giữa</t>
  </si>
  <si>
    <t>bảng điều kiện</t>
  </si>
  <si>
    <t>&gt;=200</t>
  </si>
  <si>
    <t>ĐỐI TƯỢNG</t>
  </si>
  <si>
    <t>SỐ LƯỢNG</t>
  </si>
  <si>
    <t>rank(number;ref;[order])</t>
  </si>
  <si>
    <t xml:space="preserve">number: số được đem ra  so sánh với những số còn lại </t>
  </si>
  <si>
    <t>order: cách săp xếp được quy ước là 1 và 0</t>
  </si>
  <si>
    <t>quy ước là 1: số nhỏ nhất được xếp vào vị trí thứ nhất</t>
  </si>
  <si>
    <t>quy ước là 0: số nào lớn nhất được đánh số vị trí là 1</t>
  </si>
  <si>
    <t>ref: vùng chứa dữ liệu để sắp xếp(quy vùng dữ liệu thành địa chỉ tuyệt đối bằng cách nhấn phím f4)</t>
  </si>
  <si>
    <t>&gt;=9</t>
  </si>
  <si>
    <t>.</t>
  </si>
  <si>
    <t>&gt;=8</t>
  </si>
  <si>
    <t>&gt;=7</t>
  </si>
  <si>
    <t>&gt;=5</t>
  </si>
  <si>
    <t>&gt;=3,5</t>
  </si>
  <si>
    <t>if(logical_test;value of true;value of false)</t>
  </si>
  <si>
    <t>logical test: biểu thức điều kiện (biểu thức chứa các hàm, biểu thức toán học,..)</t>
  </si>
  <si>
    <t>value of true: sẽ được giá trị này khi biểu thức điều kiện là đúng</t>
  </si>
  <si>
    <t>để tính tuổi: cần biết các hàm: today, day, month, year</t>
  </si>
  <si>
    <t>today(): là hàm không có đối số: cho ta biết ngày tháng năm của hệ thống</t>
  </si>
  <si>
    <t>tuổi=năm hiện tại - năm sinh</t>
  </si>
  <si>
    <t xml:space="preserve">DANH SÁCH HỘI VIÊN CÂU LẠC BỘ </t>
  </si>
  <si>
    <t>MÃ THẺ</t>
  </si>
  <si>
    <t xml:space="preserve">HỌ ĐỆM </t>
  </si>
  <si>
    <t xml:space="preserve">TÊN </t>
  </si>
  <si>
    <t xml:space="preserve">PHÁI </t>
  </si>
  <si>
    <t>ĐỊA CHỈ</t>
  </si>
  <si>
    <t>NGÀY 
SINH</t>
  </si>
  <si>
    <t>A00125</t>
  </si>
  <si>
    <t xml:space="preserve">Nguyễn Tuấn </t>
  </si>
  <si>
    <t>BĐ - HN</t>
  </si>
  <si>
    <t>C11700</t>
  </si>
  <si>
    <t>HBT - HN</t>
  </si>
  <si>
    <t>A04123</t>
  </si>
  <si>
    <t>ĐĐ - HN</t>
  </si>
  <si>
    <t>B92378</t>
  </si>
  <si>
    <t>TÂY HỒ - HN</t>
  </si>
  <si>
    <t>A32123</t>
  </si>
  <si>
    <t xml:space="preserve">Vũ Thuý Đông </t>
  </si>
  <si>
    <t>CẦU GIẤY - HN</t>
  </si>
  <si>
    <t>B32940</t>
  </si>
  <si>
    <t xml:space="preserve">Lê Thị Minh </t>
  </si>
  <si>
    <t>HK - HN</t>
  </si>
  <si>
    <t>A55432</t>
  </si>
  <si>
    <t>Dương Quang</t>
  </si>
  <si>
    <t>LONG BIÊN - HN</t>
  </si>
  <si>
    <t>C67241</t>
  </si>
  <si>
    <t>HOÀNG MAI - HN</t>
  </si>
  <si>
    <t>B43175</t>
  </si>
  <si>
    <t>A03432</t>
  </si>
  <si>
    <t xml:space="preserve">Trương Ngọc </t>
  </si>
  <si>
    <t>Nhạ</t>
  </si>
  <si>
    <t>HVCT</t>
  </si>
  <si>
    <t>HVDB</t>
  </si>
  <si>
    <t>SỐ HỘI VIÊN LÀ NAM VÀ LÀ HỘI VIÊN CHÍNH THỨC</t>
  </si>
  <si>
    <t>ĐỐI 
TƯỢNG</t>
  </si>
  <si>
    <t>SỐ 
HỘI VIÊN</t>
  </si>
  <si>
    <t>THỐNG KÊ 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</si>
</sst>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14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4"/>
      <name val="Times New Roman"/>
      <family val="1"/>
    </font>
    <font>
      <sz val="14"/>
      <color indexed="10"/>
      <name val="Times New Roman"/>
      <family val="1"/>
    </font>
    <font>
      <sz val="10"/>
      <color indexed="14"/>
      <name val="Arial"/>
    </font>
    <font>
      <sz val="10"/>
      <color indexed="12"/>
      <name val="Arial"/>
    </font>
    <font>
      <sz val="10"/>
      <color indexed="20"/>
      <name val="Arial"/>
    </font>
    <font>
      <sz val="10"/>
      <color indexed="17"/>
      <name val="Arial"/>
    </font>
    <font>
      <sz val="10"/>
      <color indexed="53"/>
      <name val="Arial"/>
    </font>
    <font>
      <sz val="10"/>
      <color indexed="10"/>
      <name val="Arial"/>
    </font>
    <font>
      <sz val="10"/>
      <color indexed="10"/>
      <name val="Arial"/>
      <family val="2"/>
    </font>
    <font>
      <sz val="10"/>
      <color indexed="61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1" xfId="0" applyBorder="1"/>
    <xf numFmtId="14" fontId="0" fillId="0" borderId="1" xfId="0" applyNumberFormat="1" applyBorder="1"/>
    <xf numFmtId="180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/>
    <xf numFmtId="0" fontId="4" fillId="0" borderId="1" xfId="0" applyFont="1" applyBorder="1"/>
    <xf numFmtId="0" fontId="2" fillId="0" borderId="1" xfId="0" applyFon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5" fillId="0" borderId="0" xfId="0" applyFont="1"/>
    <xf numFmtId="0" fontId="5" fillId="0" borderId="1" xfId="0" applyFont="1" applyBorder="1"/>
    <xf numFmtId="0" fontId="6" fillId="0" borderId="0" xfId="0" applyFont="1" applyBorder="1"/>
    <xf numFmtId="0" fontId="6" fillId="0" borderId="0" xfId="0" applyFont="1"/>
    <xf numFmtId="0" fontId="6" fillId="0" borderId="1" xfId="0" applyFont="1" applyBorder="1"/>
    <xf numFmtId="0" fontId="7" fillId="0" borderId="1" xfId="0" applyFont="1" applyBorder="1"/>
    <xf numFmtId="0" fontId="8" fillId="0" borderId="0" xfId="0" applyFont="1"/>
    <xf numFmtId="0" fontId="8" fillId="0" borderId="1" xfId="0" applyFont="1" applyBorder="1"/>
    <xf numFmtId="0" fontId="9" fillId="0" borderId="1" xfId="0" applyFont="1" applyBorder="1"/>
    <xf numFmtId="9" fontId="9" fillId="0" borderId="1" xfId="0" applyNumberFormat="1" applyFont="1" applyBorder="1"/>
    <xf numFmtId="0" fontId="9" fillId="0" borderId="0" xfId="0" applyFont="1"/>
    <xf numFmtId="0" fontId="9" fillId="0" borderId="1" xfId="1" applyNumberFormat="1" applyFont="1" applyBorder="1"/>
    <xf numFmtId="0" fontId="10" fillId="0" borderId="1" xfId="0" applyFont="1" applyBorder="1"/>
    <xf numFmtId="9" fontId="10" fillId="0" borderId="1" xfId="0" applyNumberFormat="1" applyFont="1" applyBorder="1"/>
    <xf numFmtId="0" fontId="10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11" fillId="0" borderId="1" xfId="0" applyNumberFormat="1" applyFont="1" applyBorder="1"/>
    <xf numFmtId="0" fontId="12" fillId="0" borderId="0" xfId="0" applyFont="1"/>
    <xf numFmtId="0" fontId="11" fillId="0" borderId="0" xfId="0" applyFont="1"/>
    <xf numFmtId="0" fontId="7" fillId="0" borderId="0" xfId="0" applyFont="1"/>
    <xf numFmtId="0" fontId="7" fillId="0" borderId="6" xfId="0" applyFont="1" applyBorder="1"/>
    <xf numFmtId="1" fontId="6" fillId="0" borderId="1" xfId="0" applyNumberFormat="1" applyFont="1" applyBorder="1"/>
    <xf numFmtId="0" fontId="13" fillId="0" borderId="1" xfId="0" applyNumberFormat="1" applyFont="1" applyBorder="1"/>
    <xf numFmtId="0" fontId="13" fillId="0" borderId="0" xfId="0" applyFont="1"/>
    <xf numFmtId="0" fontId="4" fillId="0" borderId="1" xfId="0" applyFont="1" applyBorder="1" applyAlignment="1">
      <alignment vertical="justify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14" fontId="13" fillId="0" borderId="1" xfId="0" applyNumberFormat="1" applyFont="1" applyBorder="1"/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1485169304332006"/>
          <c:y val="3.623188405797101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267339560778504"/>
          <c:y val="0.14855125025210261"/>
          <c:w val="0.65742637823559158"/>
          <c:h val="0.67029222674729227"/>
        </c:manualLayout>
      </c:layout>
      <c:barChart>
        <c:barDir val="col"/>
        <c:grouping val="clustered"/>
        <c:varyColors val="0"/>
        <c:ser>
          <c:idx val="0"/>
          <c:order val="0"/>
          <c:tx>
            <c:v>SO SÁNH LÃI CÁC MẶT HÀNG</c:v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'bảng thống kê hàng hóa'!$B$7:$B$11</c:f>
              <c:strCache>
                <c:ptCount val="5"/>
                <c:pt idx="0">
                  <c:v>A012</c:v>
                </c:pt>
                <c:pt idx="1">
                  <c:v>B255</c:v>
                </c:pt>
                <c:pt idx="2">
                  <c:v>A086</c:v>
                </c:pt>
                <c:pt idx="3">
                  <c:v>B223</c:v>
                </c:pt>
                <c:pt idx="4">
                  <c:v>C142</c:v>
                </c:pt>
              </c:strCache>
            </c:strRef>
          </c:cat>
          <c:val>
            <c:numRef>
              <c:f>'bảng thống kê hàng hóa'!$J$7:$J$11</c:f>
              <c:numCache>
                <c:formatCode>General</c:formatCode>
                <c:ptCount val="5"/>
                <c:pt idx="0">
                  <c:v>146160.00000000023</c:v>
                </c:pt>
                <c:pt idx="1">
                  <c:v>53664.000000000029</c:v>
                </c:pt>
                <c:pt idx="2">
                  <c:v>42630.000000000051</c:v>
                </c:pt>
                <c:pt idx="3">
                  <c:v>30600.000000000044</c:v>
                </c:pt>
                <c:pt idx="4">
                  <c:v>30456.000000000029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65927424"/>
        <c:axId val="66728320"/>
      </c:barChart>
      <c:catAx>
        <c:axId val="65927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MÃ HÀNG</a:t>
                </a:r>
              </a:p>
            </c:rich>
          </c:tx>
          <c:layout>
            <c:manualLayout>
              <c:xMode val="edge"/>
              <c:yMode val="edge"/>
              <c:x val="0.82178300979704266"/>
              <c:y val="0.7934809235802047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672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283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LÃI</a:t>
                </a:r>
              </a:p>
            </c:rich>
          </c:tx>
          <c:layout>
            <c:manualLayout>
              <c:xMode val="edge"/>
              <c:yMode val="edge"/>
              <c:x val="0.14455466334034978"/>
              <c:y val="1.8115942028985508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927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46</xdr:row>
      <xdr:rowOff>19050</xdr:rowOff>
    </xdr:from>
    <xdr:to>
      <xdr:col>9</xdr:col>
      <xdr:colOff>447675</xdr:colOff>
      <xdr:row>62</xdr:row>
      <xdr:rowOff>57150</xdr:rowOff>
    </xdr:to>
    <xdr:graphicFrame macro="">
      <xdr:nvGraphicFramePr>
        <xdr:cNvPr id="206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="130" zoomScaleNormal="130" workbookViewId="0">
      <selection activeCell="I3" sqref="I3"/>
    </sheetView>
  </sheetViews>
  <sheetFormatPr defaultRowHeight="12.75" x14ac:dyDescent="0.2"/>
  <cols>
    <col min="1" max="1" width="4.42578125" bestFit="1" customWidth="1"/>
    <col min="2" max="2" width="12.5703125" bestFit="1" customWidth="1"/>
    <col min="3" max="3" width="6.85546875" bestFit="1" customWidth="1"/>
    <col min="4" max="4" width="11.28515625" bestFit="1" customWidth="1"/>
    <col min="5" max="5" width="6.140625" bestFit="1" customWidth="1"/>
    <col min="6" max="6" width="4.5703125" customWidth="1"/>
    <col min="7" max="7" width="5.5703125" bestFit="1" customWidth="1"/>
    <col min="8" max="8" width="6.42578125" bestFit="1" customWidth="1"/>
    <col min="9" max="9" width="4.42578125" bestFit="1" customWidth="1"/>
    <col min="10" max="10" width="9.28515625" bestFit="1" customWidth="1"/>
    <col min="11" max="11" width="9.5703125" bestFit="1" customWidth="1"/>
  </cols>
  <sheetData>
    <row r="1" spans="1:13" ht="13.5" thickTop="1" x14ac:dyDescent="0.2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6" t="s">
        <v>28</v>
      </c>
    </row>
    <row r="2" spans="1:13" x14ac:dyDescent="0.2">
      <c r="A2" s="7">
        <v>1</v>
      </c>
      <c r="B2" s="1" t="s">
        <v>24</v>
      </c>
      <c r="C2" s="1" t="s">
        <v>10</v>
      </c>
      <c r="D2" s="2">
        <v>30752</v>
      </c>
      <c r="E2" s="3">
        <v>6.5</v>
      </c>
      <c r="F2" s="3">
        <v>7.7</v>
      </c>
      <c r="G2" s="3">
        <v>8</v>
      </c>
      <c r="H2" s="3">
        <f>SUM(E2:G2)</f>
        <v>22.2</v>
      </c>
      <c r="I2" s="3">
        <f>AVERAGE(E2,E2,E2,F2,F2,G2)</f>
        <v>7.1499999999999995</v>
      </c>
      <c r="J2" s="34">
        <f>RANK(I2,$I$2:$I$9,0)</f>
        <v>5</v>
      </c>
      <c r="K2" s="38" t="str">
        <f>IF(I2&gt;=9,"XS",IF(I2&gt;=8,"G",IF(I2&gt;=7,"K",IF(I2&gt;=5,"TB",IF(I2&gt;=3.5,"Y",IF(I2&lt;3.5,"KEM"))))))</f>
        <v>K</v>
      </c>
    </row>
    <row r="3" spans="1:13" x14ac:dyDescent="0.2">
      <c r="A3" s="7">
        <v>2</v>
      </c>
      <c r="B3" s="1" t="s">
        <v>23</v>
      </c>
      <c r="C3" s="1" t="s">
        <v>11</v>
      </c>
      <c r="D3" s="2">
        <v>31700</v>
      </c>
      <c r="E3" s="3">
        <v>9.6999999999999993</v>
      </c>
      <c r="F3" s="3">
        <v>8.6</v>
      </c>
      <c r="G3" s="3">
        <v>8.8000000000000007</v>
      </c>
      <c r="H3" s="3">
        <f t="shared" ref="H3:H9" si="0">SUM(E3:G3)</f>
        <v>27.099999999999998</v>
      </c>
      <c r="I3" s="3">
        <f t="shared" ref="I3:I9" si="1">AVERAGE(E3,E3,E3,F3,F3,G3)</f>
        <v>9.1833333333333318</v>
      </c>
      <c r="J3" s="34">
        <f t="shared" ref="J3:J8" si="2">RANK(I3,$I$2:$I$9,0)</f>
        <v>1</v>
      </c>
      <c r="K3" s="38" t="str">
        <f t="shared" ref="K3:K9" si="3">IF(I3&gt;=9,"XS",IF(I3&gt;=8,"G",IF(I3&gt;=7,"K",IF(I3&gt;=5,"TB",IF(I3&gt;=3.5,"Y",IF(I3&lt;3.5,"KEM"))))))</f>
        <v>XS</v>
      </c>
    </row>
    <row r="4" spans="1:13" x14ac:dyDescent="0.2">
      <c r="A4" s="7">
        <v>3</v>
      </c>
      <c r="B4" s="1" t="s">
        <v>22</v>
      </c>
      <c r="C4" s="1" t="s">
        <v>12</v>
      </c>
      <c r="D4" s="2">
        <v>31865</v>
      </c>
      <c r="E4" s="3">
        <v>7.5</v>
      </c>
      <c r="F4" s="3">
        <v>6.8</v>
      </c>
      <c r="G4" s="3">
        <v>8.5</v>
      </c>
      <c r="H4" s="3">
        <f t="shared" si="0"/>
        <v>22.8</v>
      </c>
      <c r="I4" s="3">
        <f t="shared" si="1"/>
        <v>7.4333333333333336</v>
      </c>
      <c r="J4" s="34">
        <f t="shared" si="2"/>
        <v>4</v>
      </c>
      <c r="K4" s="38" t="str">
        <f t="shared" si="3"/>
        <v>K</v>
      </c>
    </row>
    <row r="5" spans="1:13" x14ac:dyDescent="0.2">
      <c r="A5" s="7">
        <v>4</v>
      </c>
      <c r="B5" s="1" t="s">
        <v>21</v>
      </c>
      <c r="C5" s="1" t="s">
        <v>13</v>
      </c>
      <c r="D5" s="2">
        <v>30770</v>
      </c>
      <c r="E5" s="3">
        <v>5.6</v>
      </c>
      <c r="F5" s="3">
        <v>7.9</v>
      </c>
      <c r="G5" s="3">
        <v>7.9</v>
      </c>
      <c r="H5" s="3">
        <f t="shared" si="0"/>
        <v>21.4</v>
      </c>
      <c r="I5" s="3">
        <f t="shared" si="1"/>
        <v>6.7499999999999991</v>
      </c>
      <c r="J5" s="34">
        <f t="shared" si="2"/>
        <v>7</v>
      </c>
      <c r="K5" s="38" t="str">
        <f t="shared" si="3"/>
        <v>TB</v>
      </c>
    </row>
    <row r="6" spans="1:13" x14ac:dyDescent="0.2">
      <c r="A6" s="7">
        <v>5</v>
      </c>
      <c r="B6" s="1" t="s">
        <v>20</v>
      </c>
      <c r="C6" s="1" t="s">
        <v>14</v>
      </c>
      <c r="D6" s="2">
        <v>32426</v>
      </c>
      <c r="E6" s="3">
        <v>8.1999999999999993</v>
      </c>
      <c r="F6" s="3">
        <v>5.6</v>
      </c>
      <c r="G6" s="3">
        <v>9.3000000000000007</v>
      </c>
      <c r="H6" s="3">
        <f t="shared" si="0"/>
        <v>23.1</v>
      </c>
      <c r="I6" s="3">
        <f t="shared" si="1"/>
        <v>7.5166666666666657</v>
      </c>
      <c r="J6" s="34">
        <f t="shared" si="2"/>
        <v>3</v>
      </c>
      <c r="K6" s="38" t="str">
        <f t="shared" si="3"/>
        <v>K</v>
      </c>
    </row>
    <row r="7" spans="1:13" x14ac:dyDescent="0.2">
      <c r="A7" s="7">
        <v>6</v>
      </c>
      <c r="B7" s="1" t="s">
        <v>19</v>
      </c>
      <c r="C7" s="1" t="s">
        <v>11</v>
      </c>
      <c r="D7" s="2">
        <v>31258</v>
      </c>
      <c r="E7" s="3">
        <v>4.5</v>
      </c>
      <c r="F7" s="3">
        <v>9</v>
      </c>
      <c r="G7" s="3">
        <v>7.8</v>
      </c>
      <c r="H7" s="3">
        <f t="shared" si="0"/>
        <v>21.3</v>
      </c>
      <c r="I7" s="3">
        <f t="shared" si="1"/>
        <v>6.55</v>
      </c>
      <c r="J7" s="34">
        <f t="shared" si="2"/>
        <v>8</v>
      </c>
      <c r="K7" s="38" t="str">
        <f t="shared" si="3"/>
        <v>TB</v>
      </c>
    </row>
    <row r="8" spans="1:13" x14ac:dyDescent="0.2">
      <c r="A8" s="7">
        <v>7</v>
      </c>
      <c r="B8" s="1" t="s">
        <v>18</v>
      </c>
      <c r="C8" s="1" t="s">
        <v>15</v>
      </c>
      <c r="D8" s="2">
        <v>31882</v>
      </c>
      <c r="E8" s="3">
        <v>6.7</v>
      </c>
      <c r="F8" s="3">
        <v>7.5</v>
      </c>
      <c r="G8" s="3">
        <v>6.9</v>
      </c>
      <c r="H8" s="3">
        <f t="shared" si="0"/>
        <v>21.1</v>
      </c>
      <c r="I8" s="3">
        <f>AVERAGE(E8,E8,E8,F8,F8,G8)</f>
        <v>7</v>
      </c>
      <c r="J8" s="34">
        <f t="shared" si="2"/>
        <v>6</v>
      </c>
      <c r="K8" s="38" t="str">
        <f t="shared" si="3"/>
        <v>K</v>
      </c>
    </row>
    <row r="9" spans="1:13" x14ac:dyDescent="0.2">
      <c r="A9" s="7">
        <v>8</v>
      </c>
      <c r="B9" s="1" t="s">
        <v>17</v>
      </c>
      <c r="C9" s="1" t="s">
        <v>16</v>
      </c>
      <c r="D9" s="2">
        <v>31685</v>
      </c>
      <c r="E9" s="3">
        <v>8.3000000000000007</v>
      </c>
      <c r="F9" s="3">
        <v>6.8</v>
      </c>
      <c r="G9" s="3">
        <v>7.6</v>
      </c>
      <c r="H9" s="3">
        <f t="shared" si="0"/>
        <v>22.700000000000003</v>
      </c>
      <c r="I9" s="3">
        <f t="shared" si="1"/>
        <v>7.6833333333333336</v>
      </c>
      <c r="J9" s="34">
        <f>RANK(I9,$I$2:$I$9,0)</f>
        <v>2</v>
      </c>
      <c r="K9" s="38" t="str">
        <f t="shared" si="3"/>
        <v>K</v>
      </c>
    </row>
    <row r="10" spans="1:13" x14ac:dyDescent="0.2">
      <c r="A10" s="49" t="s">
        <v>25</v>
      </c>
      <c r="B10" s="50"/>
      <c r="C10" s="50"/>
      <c r="D10" s="50"/>
      <c r="E10" s="3">
        <f>SUM(E2:E9)</f>
        <v>57</v>
      </c>
      <c r="F10" s="3">
        <f>SUM(F2:F9)</f>
        <v>59.9</v>
      </c>
      <c r="G10" s="3">
        <f>SUM(G2:G9)</f>
        <v>64.8</v>
      </c>
      <c r="H10" s="1"/>
      <c r="I10" s="1"/>
      <c r="J10" s="1"/>
      <c r="K10" s="8"/>
      <c r="M10" s="37" t="s">
        <v>141</v>
      </c>
    </row>
    <row r="11" spans="1:13" x14ac:dyDescent="0.2">
      <c r="A11" s="49" t="s">
        <v>26</v>
      </c>
      <c r="B11" s="50"/>
      <c r="C11" s="50"/>
      <c r="D11" s="50"/>
      <c r="E11" s="3">
        <f>MAX(E2:E9)</f>
        <v>9.6999999999999993</v>
      </c>
      <c r="F11" s="3">
        <f>MAX(F2:F9)</f>
        <v>9</v>
      </c>
      <c r="G11" s="3">
        <f>MAX(G2:G9)</f>
        <v>9.3000000000000007</v>
      </c>
      <c r="H11" s="1"/>
      <c r="I11" s="1"/>
      <c r="J11" s="1"/>
      <c r="K11" s="8"/>
      <c r="M11" s="37" t="s">
        <v>143</v>
      </c>
    </row>
    <row r="12" spans="1:13" ht="13.5" thickBot="1" x14ac:dyDescent="0.25">
      <c r="A12" s="51" t="s">
        <v>27</v>
      </c>
      <c r="B12" s="52"/>
      <c r="C12" s="52"/>
      <c r="D12" s="52"/>
      <c r="E12" s="9">
        <f>MIN(E1:E9)</f>
        <v>4.5</v>
      </c>
      <c r="F12" s="9">
        <f>MIN(F1:F9)</f>
        <v>5.6</v>
      </c>
      <c r="G12" s="9">
        <f>MIN(G1:G9)</f>
        <v>6.9</v>
      </c>
      <c r="H12" s="9"/>
      <c r="I12" s="9"/>
      <c r="J12" s="9"/>
      <c r="K12" s="10"/>
      <c r="M12" s="37" t="s">
        <v>144</v>
      </c>
    </row>
    <row r="13" spans="1:13" ht="13.5" thickTop="1" x14ac:dyDescent="0.2">
      <c r="M13" s="37" t="s">
        <v>145</v>
      </c>
    </row>
    <row r="14" spans="1:13" x14ac:dyDescent="0.2">
      <c r="M14" s="37" t="s">
        <v>146</v>
      </c>
    </row>
    <row r="16" spans="1:13" x14ac:dyDescent="0.2">
      <c r="J16" s="35" t="s">
        <v>135</v>
      </c>
    </row>
    <row r="17" spans="10:13" x14ac:dyDescent="0.2">
      <c r="J17" s="36" t="s">
        <v>136</v>
      </c>
    </row>
    <row r="18" spans="10:13" x14ac:dyDescent="0.2">
      <c r="J18" s="36" t="s">
        <v>140</v>
      </c>
    </row>
    <row r="19" spans="10:13" x14ac:dyDescent="0.2">
      <c r="J19" s="36" t="s">
        <v>137</v>
      </c>
    </row>
    <row r="20" spans="10:13" x14ac:dyDescent="0.2">
      <c r="J20" s="36" t="s">
        <v>138</v>
      </c>
    </row>
    <row r="21" spans="10:13" x14ac:dyDescent="0.2">
      <c r="J21" s="36" t="s">
        <v>139</v>
      </c>
    </row>
    <row r="23" spans="10:13" x14ac:dyDescent="0.2">
      <c r="M23" t="s">
        <v>142</v>
      </c>
    </row>
  </sheetData>
  <mergeCells count="3">
    <mergeCell ref="A10:D10"/>
    <mergeCell ref="A11:D11"/>
    <mergeCell ref="A12:D12"/>
  </mergeCells>
  <phoneticPr fontId="2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9"/>
  <sheetViews>
    <sheetView topLeftCell="B1" zoomScale="115" zoomScaleNormal="115" workbookViewId="0">
      <selection activeCell="L18" sqref="L18"/>
    </sheetView>
  </sheetViews>
  <sheetFormatPr defaultRowHeight="12.75" x14ac:dyDescent="0.2"/>
  <cols>
    <col min="1" max="1" width="4.42578125" bestFit="1" customWidth="1"/>
    <col min="2" max="2" width="10.85546875" bestFit="1" customWidth="1"/>
    <col min="3" max="3" width="6.85546875" bestFit="1" customWidth="1"/>
    <col min="4" max="4" width="5.28515625" bestFit="1" customWidth="1"/>
    <col min="5" max="5" width="11.140625" bestFit="1" customWidth="1"/>
    <col min="6" max="6" width="9.5703125" bestFit="1" customWidth="1"/>
    <col min="7" max="7" width="14.42578125" bestFit="1" customWidth="1"/>
    <col min="8" max="8" width="14.28515625" bestFit="1" customWidth="1"/>
    <col min="9" max="9" width="10.5703125" bestFit="1" customWidth="1"/>
    <col min="10" max="10" width="14" bestFit="1" customWidth="1"/>
    <col min="12" max="12" width="10.85546875" customWidth="1"/>
    <col min="13" max="13" width="8.7109375" bestFit="1" customWidth="1"/>
  </cols>
  <sheetData>
    <row r="4" spans="1:13" x14ac:dyDescent="0.2">
      <c r="A4" s="1" t="s">
        <v>0</v>
      </c>
      <c r="B4" s="1" t="s">
        <v>1</v>
      </c>
      <c r="C4" s="1" t="s">
        <v>2</v>
      </c>
      <c r="D4" s="1" t="s">
        <v>29</v>
      </c>
      <c r="E4" s="1" t="s">
        <v>3</v>
      </c>
      <c r="F4" s="1" t="s">
        <v>30</v>
      </c>
      <c r="G4" s="1" t="s">
        <v>31</v>
      </c>
      <c r="H4" s="1" t="s">
        <v>32</v>
      </c>
      <c r="I4" s="1" t="s">
        <v>53</v>
      </c>
      <c r="J4" s="1" t="s">
        <v>33</v>
      </c>
      <c r="K4" s="1" t="s">
        <v>54</v>
      </c>
      <c r="L4" s="1" t="s">
        <v>56</v>
      </c>
      <c r="M4" s="1" t="s">
        <v>55</v>
      </c>
    </row>
    <row r="5" spans="1:13" x14ac:dyDescent="0.2">
      <c r="A5" s="1">
        <v>1</v>
      </c>
      <c r="B5" s="1" t="s">
        <v>39</v>
      </c>
      <c r="C5" s="1" t="s">
        <v>40</v>
      </c>
      <c r="D5" s="1" t="s">
        <v>47</v>
      </c>
      <c r="E5" s="2">
        <v>24908</v>
      </c>
      <c r="F5" s="1" t="s">
        <v>52</v>
      </c>
      <c r="G5" s="1">
        <v>2.67</v>
      </c>
      <c r="H5" s="1">
        <f t="shared" ref="H5:H10" si="0">SUM(830000*G5)</f>
        <v>2216100</v>
      </c>
      <c r="I5" s="39">
        <f t="shared" ref="I5:I10" si="1">IF(F5="GĐ",200000,IF(F5="PGĐ",170000,IF(F5="TP",150000,0)))</f>
        <v>0</v>
      </c>
      <c r="J5" s="1">
        <f t="shared" ref="J5:J10" si="2">SUM(H5:I5)</f>
        <v>2216100</v>
      </c>
      <c r="K5" s="1">
        <f t="shared" ref="K5:K10" si="3">SUM(H5*7.5%)</f>
        <v>166207.5</v>
      </c>
      <c r="L5" s="40">
        <f t="shared" ref="L5:L10" ca="1" si="4">YEAR(TODAY())-YEAR(E5)</f>
        <v>45</v>
      </c>
      <c r="M5" s="1" t="str">
        <f t="shared" ref="M5:M10" ca="1" si="5">IF(OR(AND(D5="Nam",L5&gt;=60),AND(D5="Nữ",L5&gt;=55)),"ve huu","lam viec")</f>
        <v>lam viec</v>
      </c>
    </row>
    <row r="6" spans="1:13" x14ac:dyDescent="0.2">
      <c r="A6" s="1">
        <v>2</v>
      </c>
      <c r="B6" s="1" t="s">
        <v>38</v>
      </c>
      <c r="C6" s="1" t="s">
        <v>41</v>
      </c>
      <c r="D6" s="1" t="s">
        <v>46</v>
      </c>
      <c r="E6" s="2">
        <v>31335</v>
      </c>
      <c r="F6" s="1" t="s">
        <v>51</v>
      </c>
      <c r="G6" s="1">
        <v>2.34</v>
      </c>
      <c r="H6" s="1">
        <f t="shared" si="0"/>
        <v>1942199.9999999998</v>
      </c>
      <c r="I6" s="39">
        <f>IF(F6="GĐ",200000,IF(F6="PGĐ",170000,IF(F6="TP",150000,0)))</f>
        <v>0</v>
      </c>
      <c r="J6" s="1">
        <f t="shared" si="2"/>
        <v>1942199.9999999998</v>
      </c>
      <c r="K6" s="1">
        <f t="shared" si="3"/>
        <v>145664.99999999997</v>
      </c>
      <c r="L6" s="40">
        <f t="shared" ca="1" si="4"/>
        <v>28</v>
      </c>
      <c r="M6" s="1" t="str">
        <f t="shared" ca="1" si="5"/>
        <v>lam viec</v>
      </c>
    </row>
    <row r="7" spans="1:13" x14ac:dyDescent="0.2">
      <c r="A7" s="1">
        <v>3</v>
      </c>
      <c r="B7" s="1" t="s">
        <v>37</v>
      </c>
      <c r="C7" s="1" t="s">
        <v>42</v>
      </c>
      <c r="D7" s="1" t="s">
        <v>47</v>
      </c>
      <c r="E7" s="2">
        <v>27117</v>
      </c>
      <c r="F7" s="1" t="s">
        <v>51</v>
      </c>
      <c r="G7" s="1">
        <v>3.33</v>
      </c>
      <c r="H7" s="1">
        <f t="shared" si="0"/>
        <v>2763900</v>
      </c>
      <c r="I7" s="39">
        <f t="shared" si="1"/>
        <v>0</v>
      </c>
      <c r="J7" s="1">
        <f t="shared" si="2"/>
        <v>2763900</v>
      </c>
      <c r="K7" s="1">
        <f t="shared" si="3"/>
        <v>207292.5</v>
      </c>
      <c r="L7" s="40">
        <f t="shared" ca="1" si="4"/>
        <v>39</v>
      </c>
      <c r="M7" s="1" t="str">
        <f t="shared" ca="1" si="5"/>
        <v>lam viec</v>
      </c>
    </row>
    <row r="8" spans="1:13" x14ac:dyDescent="0.2">
      <c r="A8" s="1">
        <v>4</v>
      </c>
      <c r="B8" s="1" t="s">
        <v>36</v>
      </c>
      <c r="C8" s="1" t="s">
        <v>43</v>
      </c>
      <c r="D8" s="1" t="s">
        <v>47</v>
      </c>
      <c r="E8" s="2">
        <v>20177</v>
      </c>
      <c r="F8" s="1" t="s">
        <v>50</v>
      </c>
      <c r="G8" s="1">
        <v>4.88</v>
      </c>
      <c r="H8" s="1">
        <f t="shared" si="0"/>
        <v>4050400</v>
      </c>
      <c r="I8" s="39">
        <f t="shared" si="1"/>
        <v>200000</v>
      </c>
      <c r="J8" s="1">
        <f t="shared" si="2"/>
        <v>4250400</v>
      </c>
      <c r="K8" s="1">
        <f t="shared" si="3"/>
        <v>303780</v>
      </c>
      <c r="L8" s="40">
        <f t="shared" ca="1" si="4"/>
        <v>58</v>
      </c>
      <c r="M8" s="1" t="str">
        <f t="shared" ca="1" si="5"/>
        <v>lam viec</v>
      </c>
    </row>
    <row r="9" spans="1:13" x14ac:dyDescent="0.2">
      <c r="A9" s="1">
        <v>5</v>
      </c>
      <c r="B9" s="1" t="s">
        <v>35</v>
      </c>
      <c r="C9" s="1" t="s">
        <v>44</v>
      </c>
      <c r="D9" s="1" t="s">
        <v>46</v>
      </c>
      <c r="E9" s="2">
        <v>21833</v>
      </c>
      <c r="F9" s="1" t="s">
        <v>49</v>
      </c>
      <c r="G9" s="1">
        <v>4.42</v>
      </c>
      <c r="H9" s="1">
        <f t="shared" si="0"/>
        <v>3668600</v>
      </c>
      <c r="I9" s="39">
        <f t="shared" si="1"/>
        <v>170000</v>
      </c>
      <c r="J9" s="1">
        <f t="shared" si="2"/>
        <v>3838600</v>
      </c>
      <c r="K9" s="1">
        <f t="shared" si="3"/>
        <v>275145</v>
      </c>
      <c r="L9" s="40">
        <f t="shared" ca="1" si="4"/>
        <v>54</v>
      </c>
      <c r="M9" s="1" t="str">
        <f t="shared" ca="1" si="5"/>
        <v>lam viec</v>
      </c>
    </row>
    <row r="10" spans="1:13" x14ac:dyDescent="0.2">
      <c r="A10" s="1">
        <v>6</v>
      </c>
      <c r="B10" s="1" t="s">
        <v>34</v>
      </c>
      <c r="C10" s="1" t="s">
        <v>45</v>
      </c>
      <c r="D10" s="1" t="s">
        <v>46</v>
      </c>
      <c r="E10" s="2">
        <v>11900</v>
      </c>
      <c r="F10" s="1" t="s">
        <v>48</v>
      </c>
      <c r="G10" s="1">
        <v>3.99</v>
      </c>
      <c r="H10" s="1">
        <f t="shared" si="0"/>
        <v>3311700</v>
      </c>
      <c r="I10" s="39">
        <f t="shared" si="1"/>
        <v>150000</v>
      </c>
      <c r="J10" s="1">
        <f t="shared" si="2"/>
        <v>3461700</v>
      </c>
      <c r="K10" s="1">
        <f t="shared" si="3"/>
        <v>248377.5</v>
      </c>
      <c r="L10" s="40">
        <f t="shared" ca="1" si="4"/>
        <v>81</v>
      </c>
      <c r="M10" s="1" t="str">
        <f t="shared" ca="1" si="5"/>
        <v>ve huu</v>
      </c>
    </row>
    <row r="12" spans="1:13" x14ac:dyDescent="0.2">
      <c r="H12" s="41" t="s">
        <v>152</v>
      </c>
    </row>
    <row r="13" spans="1:13" x14ac:dyDescent="0.2">
      <c r="H13" s="41" t="s">
        <v>150</v>
      </c>
    </row>
    <row r="14" spans="1:13" x14ac:dyDescent="0.2">
      <c r="H14" s="41" t="s">
        <v>151</v>
      </c>
    </row>
    <row r="15" spans="1:13" x14ac:dyDescent="0.2">
      <c r="H15" s="47">
        <f ca="1">TODAY()</f>
        <v>41426</v>
      </c>
    </row>
    <row r="16" spans="1:13" x14ac:dyDescent="0.2">
      <c r="E16" s="20" t="s">
        <v>147</v>
      </c>
    </row>
    <row r="17" spans="5:9" x14ac:dyDescent="0.2">
      <c r="E17" s="20" t="s">
        <v>148</v>
      </c>
    </row>
    <row r="18" spans="5:9" x14ac:dyDescent="0.2">
      <c r="E18" s="20" t="s">
        <v>149</v>
      </c>
    </row>
    <row r="19" spans="5:9" x14ac:dyDescent="0.2">
      <c r="G19" s="20"/>
    </row>
    <row r="20" spans="5:9" x14ac:dyDescent="0.2">
      <c r="G20" s="20"/>
    </row>
    <row r="21" spans="5:9" x14ac:dyDescent="0.2">
      <c r="G21" s="20"/>
    </row>
    <row r="22" spans="5:9" x14ac:dyDescent="0.2">
      <c r="G22" s="20"/>
    </row>
    <row r="23" spans="5:9" x14ac:dyDescent="0.2">
      <c r="G23" s="20"/>
    </row>
    <row r="25" spans="5:9" x14ac:dyDescent="0.2">
      <c r="I25" s="41"/>
    </row>
    <row r="26" spans="5:9" x14ac:dyDescent="0.2">
      <c r="I26" s="41"/>
    </row>
    <row r="27" spans="5:9" x14ac:dyDescent="0.2">
      <c r="I27" s="41"/>
    </row>
    <row r="28" spans="5:9" x14ac:dyDescent="0.2">
      <c r="I28" s="41"/>
    </row>
    <row r="29" spans="5:9" x14ac:dyDescent="0.2">
      <c r="I29" s="41"/>
    </row>
  </sheetData>
  <phoneticPr fontId="2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3"/>
  <sheetViews>
    <sheetView topLeftCell="B4" zoomScale="115" zoomScaleNormal="115" workbookViewId="0">
      <selection activeCell="I15" sqref="I15"/>
    </sheetView>
  </sheetViews>
  <sheetFormatPr defaultRowHeight="12.75" x14ac:dyDescent="0.2"/>
  <cols>
    <col min="1" max="1" width="5.7109375" customWidth="1"/>
    <col min="2" max="2" width="9.7109375" bestFit="1" customWidth="1"/>
    <col min="3" max="4" width="12" bestFit="1" customWidth="1"/>
    <col min="5" max="5" width="11.28515625" bestFit="1" customWidth="1"/>
    <col min="6" max="6" width="11.42578125" customWidth="1"/>
    <col min="7" max="7" width="12.7109375" customWidth="1"/>
    <col min="8" max="8" width="12.85546875" customWidth="1"/>
    <col min="9" max="9" width="13" customWidth="1"/>
    <col min="10" max="10" width="13.140625" customWidth="1"/>
  </cols>
  <sheetData>
    <row r="2" spans="1:10" x14ac:dyDescent="0.2">
      <c r="D2" t="s">
        <v>189</v>
      </c>
    </row>
    <row r="4" spans="1:10" x14ac:dyDescent="0.2">
      <c r="E4" s="1" t="s">
        <v>123</v>
      </c>
    </row>
    <row r="6" spans="1:10" x14ac:dyDescent="0.2">
      <c r="A6" s="13" t="s">
        <v>0</v>
      </c>
      <c r="B6" s="13" t="s">
        <v>57</v>
      </c>
      <c r="C6" s="13" t="s">
        <v>58</v>
      </c>
      <c r="D6" s="13" t="s">
        <v>59</v>
      </c>
      <c r="E6" s="13" t="s">
        <v>60</v>
      </c>
      <c r="F6" s="13" t="s">
        <v>61</v>
      </c>
      <c r="G6" s="13" t="s">
        <v>62</v>
      </c>
      <c r="H6" s="13" t="s">
        <v>63</v>
      </c>
      <c r="I6" s="13" t="s">
        <v>64</v>
      </c>
      <c r="J6" s="13" t="s">
        <v>65</v>
      </c>
    </row>
    <row r="7" spans="1:10" x14ac:dyDescent="0.2">
      <c r="A7" s="1">
        <v>1</v>
      </c>
      <c r="B7" s="1" t="s">
        <v>66</v>
      </c>
      <c r="C7" s="1">
        <v>1</v>
      </c>
      <c r="D7" s="1">
        <v>3000</v>
      </c>
      <c r="E7" s="1">
        <v>200</v>
      </c>
      <c r="F7" s="28">
        <f>VLOOKUP(C7,$B$19:$C$22,2,0)*D7</f>
        <v>3000</v>
      </c>
      <c r="G7" s="29">
        <f>HLOOKUP(LEFT(B7,1),$G$25:$I$26,2,0)*D7</f>
        <v>90</v>
      </c>
      <c r="H7" s="1">
        <f>SUM(D7,F7,G7)</f>
        <v>6090</v>
      </c>
      <c r="I7" s="1">
        <f>H7*(1+12%)</f>
        <v>6820.8000000000011</v>
      </c>
      <c r="J7" s="1">
        <f>(I7-H7)*E7</f>
        <v>146160.00000000023</v>
      </c>
    </row>
    <row r="8" spans="1:10" x14ac:dyDescent="0.2">
      <c r="A8" s="1">
        <v>4</v>
      </c>
      <c r="B8" s="1" t="s">
        <v>69</v>
      </c>
      <c r="C8" s="1">
        <v>2</v>
      </c>
      <c r="D8" s="1">
        <v>650</v>
      </c>
      <c r="E8" s="1">
        <v>400</v>
      </c>
      <c r="F8" s="28">
        <f>VLOOKUP(C8,$B$19:$C$22,2,0)*D8</f>
        <v>454.99999999999994</v>
      </c>
      <c r="G8" s="29">
        <f>HLOOKUP(LEFT(B8,1),$G$25:$I$26,2,0)*D8</f>
        <v>13</v>
      </c>
      <c r="H8" s="1">
        <f>SUM(D8,F8,G8)</f>
        <v>1118</v>
      </c>
      <c r="I8" s="1">
        <f>H8*(1+12%)</f>
        <v>1252.1600000000001</v>
      </c>
      <c r="J8" s="1">
        <f>(I8-H8)*E8</f>
        <v>53664.000000000029</v>
      </c>
    </row>
    <row r="9" spans="1:10" x14ac:dyDescent="0.2">
      <c r="A9" s="1">
        <v>5</v>
      </c>
      <c r="B9" s="1" t="s">
        <v>70</v>
      </c>
      <c r="C9" s="1">
        <v>1</v>
      </c>
      <c r="D9" s="1">
        <v>700</v>
      </c>
      <c r="E9" s="1">
        <v>250</v>
      </c>
      <c r="F9" s="28">
        <f>VLOOKUP(C9,$B$19:$C$22,2,0)*D9</f>
        <v>700</v>
      </c>
      <c r="G9" s="29">
        <f>HLOOKUP(LEFT(B9,1),$G$25:$I$26,2,0)*D9</f>
        <v>21</v>
      </c>
      <c r="H9" s="1">
        <f>SUM(D9,F9,G9)</f>
        <v>1421</v>
      </c>
      <c r="I9" s="1">
        <f>H9*(1+12%)</f>
        <v>1591.5200000000002</v>
      </c>
      <c r="J9" s="1">
        <f>(I9-H9)*E9</f>
        <v>42630.000000000051</v>
      </c>
    </row>
    <row r="10" spans="1:10" x14ac:dyDescent="0.2">
      <c r="A10" s="1">
        <v>2</v>
      </c>
      <c r="B10" s="1" t="s">
        <v>67</v>
      </c>
      <c r="C10" s="1">
        <v>4</v>
      </c>
      <c r="D10" s="1">
        <v>2500</v>
      </c>
      <c r="E10" s="1">
        <v>100</v>
      </c>
      <c r="F10" s="28">
        <f>VLOOKUP(C10,$B$19:$C$22,2,0)*D10</f>
        <v>0</v>
      </c>
      <c r="G10" s="29">
        <f>HLOOKUP(LEFT(B10,1),$G$25:$I$26,2,0)*D10</f>
        <v>50</v>
      </c>
      <c r="H10" s="1">
        <f>SUM(D10,F10,G10)</f>
        <v>2550</v>
      </c>
      <c r="I10" s="1">
        <f>H10*(1+12%)</f>
        <v>2856.0000000000005</v>
      </c>
      <c r="J10" s="1">
        <f>(I10-H10)*E10</f>
        <v>30600.000000000044</v>
      </c>
    </row>
    <row r="11" spans="1:10" x14ac:dyDescent="0.2">
      <c r="A11" s="1">
        <v>3</v>
      </c>
      <c r="B11" s="1" t="s">
        <v>68</v>
      </c>
      <c r="C11" s="1">
        <v>3</v>
      </c>
      <c r="D11" s="1">
        <v>1200</v>
      </c>
      <c r="E11" s="1">
        <v>150</v>
      </c>
      <c r="F11" s="28">
        <f>VLOOKUP(C11,$B$19:$C$22,2,0)*D11</f>
        <v>480</v>
      </c>
      <c r="G11" s="29">
        <f>HLOOKUP(LEFT(B11,1),$G$25:$I$26,2,0)*D11</f>
        <v>12</v>
      </c>
      <c r="H11" s="1">
        <f>SUM(D11,F11,G11)</f>
        <v>1692</v>
      </c>
      <c r="I11" s="1">
        <f>H11*(1+12%)</f>
        <v>1895.0400000000002</v>
      </c>
      <c r="J11" s="1">
        <f>(I11-H11)*E11</f>
        <v>30456.000000000029</v>
      </c>
    </row>
    <row r="12" spans="1:10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</row>
    <row r="13" spans="1:10" x14ac:dyDescent="0.2">
      <c r="A13" s="14"/>
      <c r="B13" s="14"/>
      <c r="C13" s="55" t="s">
        <v>109</v>
      </c>
      <c r="D13" s="55"/>
      <c r="E13" s="55"/>
      <c r="F13" s="55"/>
      <c r="G13" s="55"/>
      <c r="H13" s="55"/>
      <c r="I13" s="21">
        <f>SUMIF(C7:C11,"=1",J7:J11)</f>
        <v>188790.00000000029</v>
      </c>
    </row>
    <row r="14" spans="1:10" x14ac:dyDescent="0.2">
      <c r="A14" s="14"/>
      <c r="B14" s="14"/>
      <c r="C14" s="56" t="s">
        <v>110</v>
      </c>
      <c r="D14" s="56"/>
      <c r="E14" s="56"/>
      <c r="F14" s="56"/>
      <c r="G14" s="56"/>
      <c r="H14" s="56"/>
      <c r="I14" s="22">
        <f>DAVERAGE($A$6:$J$11,10,$G$18:$H$21)</f>
        <v>80818.000000000102</v>
      </c>
    </row>
    <row r="15" spans="1:10" x14ac:dyDescent="0.2">
      <c r="C15" s="57" t="s">
        <v>111</v>
      </c>
      <c r="D15" s="57"/>
      <c r="E15" s="57"/>
      <c r="F15" s="57"/>
      <c r="G15" s="57"/>
      <c r="H15" s="57"/>
      <c r="I15" s="24">
        <f>COUNTIF(J7:J11,"&gt;=50000")</f>
        <v>2</v>
      </c>
    </row>
    <row r="16" spans="1:10" x14ac:dyDescent="0.2">
      <c r="C16" s="15"/>
      <c r="D16" s="15"/>
      <c r="E16" s="15"/>
      <c r="F16" s="15"/>
      <c r="G16" s="15"/>
      <c r="H16" s="15"/>
      <c r="I16" s="14"/>
    </row>
    <row r="17" spans="1:9" x14ac:dyDescent="0.2">
      <c r="A17" s="53" t="s">
        <v>71</v>
      </c>
      <c r="B17" s="54"/>
      <c r="C17" s="54"/>
      <c r="D17" s="15"/>
      <c r="E17" s="15"/>
      <c r="F17" s="15"/>
      <c r="G17" s="16" t="s">
        <v>131</v>
      </c>
      <c r="H17" s="15"/>
      <c r="I17" s="14"/>
    </row>
    <row r="18" spans="1:9" x14ac:dyDescent="0.2">
      <c r="B18" s="25" t="s">
        <v>72</v>
      </c>
      <c r="C18" s="25" t="s">
        <v>73</v>
      </c>
      <c r="D18" s="15"/>
      <c r="E18" s="15"/>
      <c r="F18" s="15"/>
      <c r="G18" s="46" t="s">
        <v>133</v>
      </c>
      <c r="H18" s="46" t="s">
        <v>134</v>
      </c>
      <c r="I18" s="14"/>
    </row>
    <row r="19" spans="1:9" x14ac:dyDescent="0.2">
      <c r="B19" s="25">
        <v>1</v>
      </c>
      <c r="C19" s="26">
        <v>1</v>
      </c>
      <c r="D19" s="15"/>
      <c r="E19" s="15"/>
      <c r="F19" s="15"/>
      <c r="G19" s="46">
        <v>1</v>
      </c>
      <c r="H19" s="46" t="s">
        <v>132</v>
      </c>
      <c r="I19" s="14"/>
    </row>
    <row r="20" spans="1:9" x14ac:dyDescent="0.2">
      <c r="B20" s="25">
        <v>2</v>
      </c>
      <c r="C20" s="26">
        <v>0.7</v>
      </c>
      <c r="D20" s="15"/>
      <c r="E20" s="15"/>
      <c r="F20" s="15"/>
      <c r="G20" s="46">
        <v>2</v>
      </c>
      <c r="H20" s="46" t="s">
        <v>132</v>
      </c>
      <c r="I20" s="14"/>
    </row>
    <row r="21" spans="1:9" x14ac:dyDescent="0.2">
      <c r="B21" s="25">
        <v>3</v>
      </c>
      <c r="C21" s="26">
        <v>0.4</v>
      </c>
      <c r="D21" s="15"/>
      <c r="E21" s="15"/>
      <c r="F21" s="15"/>
      <c r="G21" s="46">
        <v>3</v>
      </c>
      <c r="H21" s="46" t="s">
        <v>132</v>
      </c>
      <c r="I21" s="14"/>
    </row>
    <row r="22" spans="1:9" x14ac:dyDescent="0.2">
      <c r="B22" s="25">
        <v>4</v>
      </c>
      <c r="C22" s="26">
        <v>0</v>
      </c>
      <c r="D22" s="15"/>
      <c r="E22" s="15"/>
      <c r="F22" s="15"/>
      <c r="G22" s="15"/>
      <c r="H22" s="15"/>
      <c r="I22" s="14"/>
    </row>
    <row r="23" spans="1:9" x14ac:dyDescent="0.2">
      <c r="D23" s="15"/>
      <c r="E23" s="15"/>
      <c r="F23" s="15"/>
      <c r="G23" s="15"/>
      <c r="H23" s="15"/>
      <c r="I23" s="14"/>
    </row>
    <row r="24" spans="1:9" x14ac:dyDescent="0.2">
      <c r="C24" s="31" t="s">
        <v>121</v>
      </c>
      <c r="E24" s="54" t="s">
        <v>74</v>
      </c>
      <c r="F24" s="54"/>
      <c r="G24" s="54"/>
      <c r="H24" s="54"/>
    </row>
    <row r="25" spans="1:9" x14ac:dyDescent="0.2">
      <c r="C25" s="27" t="s">
        <v>122</v>
      </c>
      <c r="F25" s="29" t="s">
        <v>75</v>
      </c>
      <c r="G25" s="29" t="s">
        <v>77</v>
      </c>
      <c r="H25" s="29" t="s">
        <v>78</v>
      </c>
      <c r="I25" s="29" t="s">
        <v>79</v>
      </c>
    </row>
    <row r="26" spans="1:9" x14ac:dyDescent="0.2">
      <c r="F26" s="29" t="s">
        <v>76</v>
      </c>
      <c r="G26" s="30">
        <v>0.03</v>
      </c>
      <c r="H26" s="30">
        <v>0.02</v>
      </c>
      <c r="I26" s="30">
        <v>0.01</v>
      </c>
    </row>
    <row r="29" spans="1:9" x14ac:dyDescent="0.2">
      <c r="E29" s="27" t="s">
        <v>118</v>
      </c>
    </row>
    <row r="30" spans="1:9" x14ac:dyDescent="0.2">
      <c r="A30" s="23" t="s">
        <v>128</v>
      </c>
      <c r="E30" s="27" t="s">
        <v>112</v>
      </c>
    </row>
    <row r="31" spans="1:9" x14ac:dyDescent="0.2">
      <c r="A31" s="23" t="s">
        <v>124</v>
      </c>
      <c r="E31" s="27" t="s">
        <v>119</v>
      </c>
    </row>
    <row r="32" spans="1:9" x14ac:dyDescent="0.2">
      <c r="A32" s="23" t="s">
        <v>129</v>
      </c>
      <c r="E32" s="27" t="s">
        <v>113</v>
      </c>
    </row>
    <row r="33" spans="2:5" x14ac:dyDescent="0.2">
      <c r="E33" s="27" t="s">
        <v>114</v>
      </c>
    </row>
    <row r="34" spans="2:5" x14ac:dyDescent="0.2">
      <c r="E34" s="27" t="s">
        <v>115</v>
      </c>
    </row>
    <row r="35" spans="2:5" x14ac:dyDescent="0.2">
      <c r="E35" s="27" t="s">
        <v>116</v>
      </c>
    </row>
    <row r="36" spans="2:5" x14ac:dyDescent="0.2">
      <c r="E36" s="27"/>
    </row>
    <row r="37" spans="2:5" x14ac:dyDescent="0.2">
      <c r="E37" s="27" t="s">
        <v>117</v>
      </c>
    </row>
    <row r="39" spans="2:5" x14ac:dyDescent="0.2">
      <c r="E39" s="31" t="s">
        <v>120</v>
      </c>
    </row>
    <row r="40" spans="2:5" x14ac:dyDescent="0.2">
      <c r="B40" s="19" t="s">
        <v>127</v>
      </c>
    </row>
    <row r="41" spans="2:5" x14ac:dyDescent="0.2">
      <c r="B41" s="19" t="s">
        <v>124</v>
      </c>
    </row>
    <row r="42" spans="2:5" x14ac:dyDescent="0.2">
      <c r="B42" s="20" t="s">
        <v>125</v>
      </c>
    </row>
    <row r="43" spans="2:5" x14ac:dyDescent="0.2">
      <c r="B43" s="20" t="s">
        <v>126</v>
      </c>
    </row>
  </sheetData>
  <mergeCells count="5">
    <mergeCell ref="A17:C17"/>
    <mergeCell ref="E24:H24"/>
    <mergeCell ref="C13:H13"/>
    <mergeCell ref="C14:H14"/>
    <mergeCell ref="C15:H15"/>
  </mergeCells>
  <phoneticPr fontId="2" type="noConversion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topLeftCell="A7" zoomScaleNormal="100" workbookViewId="0">
      <selection activeCell="M8" sqref="M8"/>
    </sheetView>
  </sheetViews>
  <sheetFormatPr defaultRowHeight="18.75" x14ac:dyDescent="0.3"/>
  <cols>
    <col min="1" max="1" width="9.140625" style="11"/>
    <col min="2" max="2" width="18.5703125" style="11" customWidth="1"/>
    <col min="3" max="3" width="11.7109375" style="11" customWidth="1"/>
    <col min="4" max="4" width="12.85546875" style="11" customWidth="1"/>
    <col min="5" max="5" width="14.7109375" style="11" customWidth="1"/>
    <col min="6" max="6" width="12.7109375" style="11" customWidth="1"/>
    <col min="7" max="7" width="16" style="11" customWidth="1"/>
    <col min="8" max="8" width="21.85546875" style="11" customWidth="1"/>
    <col min="9" max="9" width="15.85546875" style="11" customWidth="1"/>
    <col min="10" max="10" width="12" style="11" customWidth="1"/>
    <col min="11" max="16384" width="9.140625" style="11"/>
  </cols>
  <sheetData>
    <row r="2" spans="1:10" x14ac:dyDescent="0.3">
      <c r="F2" s="11" t="s">
        <v>80</v>
      </c>
    </row>
    <row r="3" spans="1:10" ht="16.5" customHeight="1" x14ac:dyDescent="0.3">
      <c r="F3" s="42" t="s">
        <v>81</v>
      </c>
      <c r="G3" s="12" t="s">
        <v>82</v>
      </c>
      <c r="H3" s="12" t="s">
        <v>7</v>
      </c>
    </row>
    <row r="4" spans="1:10" x14ac:dyDescent="0.3">
      <c r="F4" s="12" t="s">
        <v>77</v>
      </c>
      <c r="G4" s="12">
        <f>240000</f>
        <v>240000</v>
      </c>
      <c r="H4" s="12">
        <f>DSUM($H$9:$I$15,2,F4:G6)</f>
        <v>0</v>
      </c>
    </row>
    <row r="5" spans="1:10" x14ac:dyDescent="0.3">
      <c r="F5" s="12" t="s">
        <v>78</v>
      </c>
      <c r="G5" s="12">
        <f>180000</f>
        <v>180000</v>
      </c>
      <c r="H5" s="12">
        <f>DSUM($H$9:$I$15,2,F5:G7)</f>
        <v>360000</v>
      </c>
    </row>
    <row r="6" spans="1:10" x14ac:dyDescent="0.3">
      <c r="F6" s="12" t="s">
        <v>79</v>
      </c>
      <c r="G6" s="12">
        <f>0</f>
        <v>0</v>
      </c>
      <c r="H6" s="12">
        <f>DSUM($H$9:$I$15,2,F6:G8)</f>
        <v>360000</v>
      </c>
    </row>
    <row r="7" spans="1:10" x14ac:dyDescent="0.3">
      <c r="A7" s="12"/>
      <c r="B7" s="12"/>
      <c r="C7" s="12"/>
      <c r="D7" s="58" t="s">
        <v>99</v>
      </c>
      <c r="E7" s="58"/>
      <c r="F7" s="58"/>
      <c r="G7" s="58"/>
      <c r="H7" s="12"/>
      <c r="I7" s="12"/>
    </row>
    <row r="8" spans="1:10" x14ac:dyDescent="0.3">
      <c r="A8" s="12" t="s">
        <v>0</v>
      </c>
      <c r="B8" s="12" t="s">
        <v>90</v>
      </c>
      <c r="C8" s="12" t="s">
        <v>98</v>
      </c>
      <c r="D8" s="12" t="s">
        <v>100</v>
      </c>
      <c r="E8" s="12" t="s">
        <v>101</v>
      </c>
      <c r="F8" s="12" t="s">
        <v>102</v>
      </c>
      <c r="G8" s="12" t="s">
        <v>103</v>
      </c>
      <c r="H8" s="12" t="s">
        <v>104</v>
      </c>
      <c r="I8" s="12" t="s">
        <v>105</v>
      </c>
      <c r="J8" s="12"/>
    </row>
    <row r="9" spans="1:10" x14ac:dyDescent="0.3">
      <c r="A9" s="12" t="s">
        <v>83</v>
      </c>
      <c r="B9" s="12" t="s">
        <v>91</v>
      </c>
      <c r="C9" s="18">
        <f>IF(MID(A9,2,1)="1",1,IF(MID(A9,2,1)="2",0.5,0))</f>
        <v>0.5</v>
      </c>
      <c r="D9" s="12">
        <v>5</v>
      </c>
      <c r="E9" s="12">
        <v>8</v>
      </c>
      <c r="F9" s="12">
        <v>9</v>
      </c>
      <c r="G9" s="12">
        <f>SUM(C9:F9)</f>
        <v>22.5</v>
      </c>
      <c r="H9" s="12" t="str">
        <f>IF(AND(G9&gt;=24,D9&gt;=8,E9&gt;=8,F9&gt;=8),"A",IF(OR(AND(G9&gt;=24,D9&gt;=6,E9&gt;=6,F9&gt;=6),AND(G9&gt;=22,D9&gt;=6,E9&gt;=6,F9&gt;=6,C9=1)),"B","C"))</f>
        <v>C</v>
      </c>
      <c r="I9" s="12">
        <f>VLOOKUP(H9,$F$4:$G$6,2,0)</f>
        <v>0</v>
      </c>
      <c r="J9" s="12"/>
    </row>
    <row r="10" spans="1:10" x14ac:dyDescent="0.3">
      <c r="A10" s="12" t="s">
        <v>84</v>
      </c>
      <c r="B10" s="12" t="s">
        <v>92</v>
      </c>
      <c r="C10" s="18">
        <f t="shared" ref="C10:C15" si="0">IF(MID(A10,2,1)="1",1,IF(MID(A10,2,1)="2",0.5,0))</f>
        <v>0.5</v>
      </c>
      <c r="D10" s="12">
        <v>6</v>
      </c>
      <c r="E10" s="12">
        <v>6</v>
      </c>
      <c r="F10" s="12">
        <v>5</v>
      </c>
      <c r="G10" s="12">
        <f t="shared" ref="G10:G15" si="1">SUM(C10:F10)</f>
        <v>17.5</v>
      </c>
      <c r="H10" s="12" t="str">
        <f t="shared" ref="H10:H15" si="2">IF(AND(G10&gt;=24,D10&gt;=8,E10&gt;=8,F10&gt;=8),"A",IF(OR(AND(G10&gt;=24,D10&gt;=6,E10&gt;=6,F10&gt;=6),AND(G10&gt;=22,D10&gt;=6,E10&gt;=6,F10&gt;=6,C10=1)),"B","C"))</f>
        <v>C</v>
      </c>
      <c r="I10" s="12">
        <f t="shared" ref="I10:I15" si="3">VLOOKUP(H10,$F$4:$G$6,2,0)</f>
        <v>0</v>
      </c>
      <c r="J10" s="12"/>
    </row>
    <row r="11" spans="1:10" x14ac:dyDescent="0.3">
      <c r="A11" s="12" t="s">
        <v>85</v>
      </c>
      <c r="B11" s="12" t="s">
        <v>93</v>
      </c>
      <c r="C11" s="18">
        <f t="shared" si="0"/>
        <v>1</v>
      </c>
      <c r="D11" s="12">
        <v>8</v>
      </c>
      <c r="E11" s="12">
        <v>9</v>
      </c>
      <c r="F11" s="12">
        <v>7</v>
      </c>
      <c r="G11" s="12">
        <f t="shared" si="1"/>
        <v>25</v>
      </c>
      <c r="H11" s="12" t="str">
        <f t="shared" si="2"/>
        <v>B</v>
      </c>
      <c r="I11" s="12">
        <f t="shared" si="3"/>
        <v>180000</v>
      </c>
      <c r="J11" s="12"/>
    </row>
    <row r="12" spans="1:10" x14ac:dyDescent="0.3">
      <c r="A12" s="12" t="s">
        <v>86</v>
      </c>
      <c r="B12" s="12" t="s">
        <v>94</v>
      </c>
      <c r="C12" s="18">
        <f t="shared" si="0"/>
        <v>0</v>
      </c>
      <c r="D12" s="12">
        <v>3</v>
      </c>
      <c r="E12" s="12">
        <v>7</v>
      </c>
      <c r="F12" s="12">
        <v>9</v>
      </c>
      <c r="G12" s="12">
        <f t="shared" si="1"/>
        <v>19</v>
      </c>
      <c r="H12" s="12" t="str">
        <f t="shared" si="2"/>
        <v>C</v>
      </c>
      <c r="I12" s="12">
        <f t="shared" si="3"/>
        <v>0</v>
      </c>
      <c r="J12" s="12"/>
    </row>
    <row r="13" spans="1:10" x14ac:dyDescent="0.3">
      <c r="A13" s="12" t="s">
        <v>87</v>
      </c>
      <c r="B13" s="12" t="s">
        <v>95</v>
      </c>
      <c r="C13" s="18">
        <f t="shared" si="0"/>
        <v>0</v>
      </c>
      <c r="D13" s="12">
        <v>9</v>
      </c>
      <c r="E13" s="12">
        <v>8</v>
      </c>
      <c r="F13" s="12">
        <v>6</v>
      </c>
      <c r="G13" s="12">
        <f t="shared" si="1"/>
        <v>23</v>
      </c>
      <c r="H13" s="12" t="str">
        <f t="shared" si="2"/>
        <v>C</v>
      </c>
      <c r="I13" s="12">
        <f t="shared" si="3"/>
        <v>0</v>
      </c>
      <c r="J13" s="12"/>
    </row>
    <row r="14" spans="1:10" x14ac:dyDescent="0.3">
      <c r="A14" s="12" t="s">
        <v>88</v>
      </c>
      <c r="B14" s="12" t="s">
        <v>96</v>
      </c>
      <c r="C14" s="18">
        <f t="shared" si="0"/>
        <v>0.5</v>
      </c>
      <c r="D14" s="12">
        <v>6</v>
      </c>
      <c r="E14" s="12">
        <v>9</v>
      </c>
      <c r="F14" s="12">
        <v>7</v>
      </c>
      <c r="G14" s="12">
        <f t="shared" si="1"/>
        <v>22.5</v>
      </c>
      <c r="H14" s="12" t="str">
        <f t="shared" si="2"/>
        <v>C</v>
      </c>
      <c r="I14" s="12">
        <f t="shared" si="3"/>
        <v>0</v>
      </c>
      <c r="J14" s="12"/>
    </row>
    <row r="15" spans="1:10" x14ac:dyDescent="0.3">
      <c r="A15" s="12" t="s">
        <v>89</v>
      </c>
      <c r="B15" s="12" t="s">
        <v>97</v>
      </c>
      <c r="C15" s="18">
        <f t="shared" si="0"/>
        <v>1</v>
      </c>
      <c r="D15" s="12">
        <v>8</v>
      </c>
      <c r="E15" s="12">
        <v>7</v>
      </c>
      <c r="F15" s="12">
        <v>9</v>
      </c>
      <c r="G15" s="12">
        <f t="shared" si="1"/>
        <v>25</v>
      </c>
      <c r="H15" s="12" t="str">
        <f t="shared" si="2"/>
        <v>B</v>
      </c>
      <c r="I15" s="12">
        <f t="shared" si="3"/>
        <v>180000</v>
      </c>
      <c r="J15" s="12"/>
    </row>
    <row r="16" spans="1:10" x14ac:dyDescent="0.3">
      <c r="A16" s="12"/>
      <c r="B16" s="12"/>
      <c r="C16" s="18" t="str">
        <f>MID(A16,2,1)</f>
        <v/>
      </c>
      <c r="D16" s="12"/>
      <c r="E16" s="12"/>
      <c r="F16" s="12"/>
      <c r="G16" s="12"/>
      <c r="H16" s="12"/>
      <c r="I16" s="12"/>
    </row>
    <row r="19" spans="4:4" x14ac:dyDescent="0.3">
      <c r="D19" s="17" t="s">
        <v>130</v>
      </c>
    </row>
    <row r="20" spans="4:4" x14ac:dyDescent="0.3">
      <c r="D20" s="17" t="s">
        <v>106</v>
      </c>
    </row>
    <row r="21" spans="4:4" x14ac:dyDescent="0.3">
      <c r="D21" s="17" t="s">
        <v>107</v>
      </c>
    </row>
    <row r="22" spans="4:4" x14ac:dyDescent="0.3">
      <c r="D22" s="17" t="s">
        <v>108</v>
      </c>
    </row>
  </sheetData>
  <mergeCells count="1">
    <mergeCell ref="D7:G7"/>
  </mergeCells>
  <phoneticPr fontId="2" type="noConversion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"/>
  <sheetViews>
    <sheetView tabSelected="1" topLeftCell="A19" zoomScale="130" zoomScaleNormal="130" workbookViewId="0">
      <selection activeCell="K17" sqref="K17"/>
    </sheetView>
  </sheetViews>
  <sheetFormatPr defaultRowHeight="12.75" x14ac:dyDescent="0.2"/>
  <cols>
    <col min="1" max="1" width="4.85546875" customWidth="1"/>
    <col min="3" max="3" width="14.5703125" customWidth="1"/>
    <col min="4" max="4" width="7.42578125" customWidth="1"/>
    <col min="5" max="5" width="6.7109375" customWidth="1"/>
    <col min="6" max="6" width="10.85546875" customWidth="1"/>
    <col min="7" max="7" width="8.140625" customWidth="1"/>
    <col min="8" max="8" width="15.85546875" customWidth="1"/>
    <col min="9" max="9" width="5.140625" customWidth="1"/>
    <col min="10" max="10" width="5.85546875" customWidth="1"/>
    <col min="11" max="11" width="9" customWidth="1"/>
    <col min="12" max="12" width="9.140625" customWidth="1"/>
  </cols>
  <sheetData>
    <row r="3" spans="1:12" x14ac:dyDescent="0.2">
      <c r="B3" t="s">
        <v>153</v>
      </c>
    </row>
    <row r="5" spans="1:12" ht="27" customHeight="1" x14ac:dyDescent="0.2">
      <c r="A5" s="44" t="s">
        <v>0</v>
      </c>
      <c r="B5" s="44" t="s">
        <v>154</v>
      </c>
      <c r="C5" s="44" t="s">
        <v>155</v>
      </c>
      <c r="D5" s="44" t="s">
        <v>156</v>
      </c>
      <c r="E5" s="44" t="s">
        <v>157</v>
      </c>
      <c r="F5" s="45" t="s">
        <v>159</v>
      </c>
      <c r="G5" s="45" t="s">
        <v>58</v>
      </c>
      <c r="H5" s="44" t="s">
        <v>158</v>
      </c>
      <c r="I5" s="43"/>
      <c r="J5" s="44" t="s">
        <v>29</v>
      </c>
      <c r="K5" s="48" t="s">
        <v>187</v>
      </c>
      <c r="L5" s="48" t="s">
        <v>188</v>
      </c>
    </row>
    <row r="6" spans="1:12" x14ac:dyDescent="0.2">
      <c r="A6" s="32">
        <v>1</v>
      </c>
      <c r="B6" s="1" t="s">
        <v>165</v>
      </c>
      <c r="C6" s="1" t="s">
        <v>37</v>
      </c>
      <c r="D6" s="1" t="s">
        <v>42</v>
      </c>
      <c r="E6" s="32" t="s">
        <v>47</v>
      </c>
      <c r="F6" s="2">
        <v>27117</v>
      </c>
      <c r="G6" s="2" t="str">
        <f>HLOOKUP(LEFT(B6,1),$D$19:$F$20,2,0)</f>
        <v>HVCT</v>
      </c>
      <c r="H6" s="1" t="s">
        <v>166</v>
      </c>
      <c r="J6" s="1" t="s">
        <v>47</v>
      </c>
      <c r="K6" s="1" t="s">
        <v>184</v>
      </c>
      <c r="L6" s="1">
        <f>DCOUNTA($A$5:$H$16,5,$J$5:$K$6)</f>
        <v>0</v>
      </c>
    </row>
    <row r="7" spans="1:12" x14ac:dyDescent="0.2">
      <c r="A7" s="32">
        <v>2</v>
      </c>
      <c r="B7" s="1" t="s">
        <v>160</v>
      </c>
      <c r="C7" s="1" t="s">
        <v>161</v>
      </c>
      <c r="D7" s="1" t="s">
        <v>40</v>
      </c>
      <c r="E7" s="32" t="s">
        <v>47</v>
      </c>
      <c r="F7" s="2">
        <v>24908</v>
      </c>
      <c r="G7" s="2" t="str">
        <f t="shared" ref="G7:G15" si="0">HLOOKUP(LEFT(B7,1),$D$19:$F$20,2,0)</f>
        <v>HVCT</v>
      </c>
      <c r="H7" s="1" t="s">
        <v>162</v>
      </c>
    </row>
    <row r="8" spans="1:12" x14ac:dyDescent="0.2">
      <c r="A8" s="32">
        <v>3</v>
      </c>
      <c r="B8" s="1" t="s">
        <v>180</v>
      </c>
      <c r="C8" s="1" t="s">
        <v>176</v>
      </c>
      <c r="D8" s="1" t="s">
        <v>40</v>
      </c>
      <c r="E8" s="32" t="s">
        <v>47</v>
      </c>
      <c r="F8" s="2">
        <v>28578</v>
      </c>
      <c r="G8" s="2" t="str">
        <f t="shared" si="0"/>
        <v>HVDB</v>
      </c>
      <c r="H8" s="1" t="s">
        <v>164</v>
      </c>
    </row>
    <row r="9" spans="1:12" x14ac:dyDescent="0.2">
      <c r="A9" s="32">
        <v>4</v>
      </c>
      <c r="B9" s="1" t="s">
        <v>167</v>
      </c>
      <c r="C9" s="1" t="s">
        <v>36</v>
      </c>
      <c r="D9" s="1" t="s">
        <v>43</v>
      </c>
      <c r="E9" s="32" t="s">
        <v>47</v>
      </c>
      <c r="F9" s="2">
        <v>20177</v>
      </c>
      <c r="G9" s="2" t="str">
        <f t="shared" si="0"/>
        <v>HVDB</v>
      </c>
      <c r="H9" s="1" t="s">
        <v>168</v>
      </c>
    </row>
    <row r="10" spans="1:12" x14ac:dyDescent="0.2">
      <c r="A10" s="32">
        <v>5</v>
      </c>
      <c r="B10" s="1" t="s">
        <v>175</v>
      </c>
      <c r="C10" s="1" t="s">
        <v>176</v>
      </c>
      <c r="D10" s="1" t="s">
        <v>43</v>
      </c>
      <c r="E10" s="32" t="s">
        <v>47</v>
      </c>
      <c r="F10" s="2">
        <v>19099</v>
      </c>
      <c r="G10" s="2" t="str">
        <f t="shared" si="0"/>
        <v>HVCT</v>
      </c>
      <c r="H10" s="1" t="s">
        <v>177</v>
      </c>
    </row>
    <row r="11" spans="1:12" x14ac:dyDescent="0.2">
      <c r="A11" s="32">
        <v>6</v>
      </c>
      <c r="B11" s="1" t="s">
        <v>181</v>
      </c>
      <c r="C11" s="1" t="s">
        <v>182</v>
      </c>
      <c r="D11" s="1" t="s">
        <v>183</v>
      </c>
      <c r="E11" s="32" t="s">
        <v>46</v>
      </c>
      <c r="F11" s="2">
        <v>19570</v>
      </c>
      <c r="G11" s="2" t="str">
        <f t="shared" si="0"/>
        <v>HVCT</v>
      </c>
      <c r="H11" s="1" t="s">
        <v>166</v>
      </c>
    </row>
    <row r="12" spans="1:12" x14ac:dyDescent="0.2">
      <c r="A12" s="32">
        <v>7</v>
      </c>
      <c r="B12" s="1" t="s">
        <v>169</v>
      </c>
      <c r="C12" s="1" t="s">
        <v>170</v>
      </c>
      <c r="D12" s="1" t="s">
        <v>44</v>
      </c>
      <c r="E12" s="32" t="s">
        <v>46</v>
      </c>
      <c r="F12" s="2">
        <v>21833</v>
      </c>
      <c r="G12" s="2" t="str">
        <f t="shared" si="0"/>
        <v>HVCT</v>
      </c>
      <c r="H12" s="1" t="s">
        <v>171</v>
      </c>
    </row>
    <row r="13" spans="1:12" x14ac:dyDescent="0.2">
      <c r="A13" s="32">
        <v>8</v>
      </c>
      <c r="B13" s="1" t="s">
        <v>178</v>
      </c>
      <c r="C13" s="1" t="s">
        <v>173</v>
      </c>
      <c r="D13" s="1" t="s">
        <v>15</v>
      </c>
      <c r="E13" s="32" t="s">
        <v>46</v>
      </c>
      <c r="F13" s="2">
        <v>28398</v>
      </c>
      <c r="G13" s="2" t="str">
        <f t="shared" si="0"/>
        <v>HVDB</v>
      </c>
      <c r="H13" s="1" t="s">
        <v>179</v>
      </c>
    </row>
    <row r="14" spans="1:12" x14ac:dyDescent="0.2">
      <c r="A14" s="32">
        <v>9</v>
      </c>
      <c r="B14" s="1" t="s">
        <v>163</v>
      </c>
      <c r="C14" s="1" t="s">
        <v>38</v>
      </c>
      <c r="D14" s="1" t="s">
        <v>41</v>
      </c>
      <c r="E14" s="32" t="s">
        <v>46</v>
      </c>
      <c r="F14" s="2">
        <v>33526</v>
      </c>
      <c r="G14" s="2" t="str">
        <f t="shared" si="0"/>
        <v>HVDB</v>
      </c>
      <c r="H14" s="1" t="s">
        <v>164</v>
      </c>
    </row>
    <row r="15" spans="1:12" x14ac:dyDescent="0.2">
      <c r="A15" s="32">
        <v>10</v>
      </c>
      <c r="B15" s="1" t="s">
        <v>172</v>
      </c>
      <c r="C15" s="1" t="s">
        <v>173</v>
      </c>
      <c r="D15" s="1" t="s">
        <v>45</v>
      </c>
      <c r="E15" s="32" t="s">
        <v>46</v>
      </c>
      <c r="F15" s="2">
        <v>22857</v>
      </c>
      <c r="G15" s="2" t="str">
        <f t="shared" si="0"/>
        <v>HVDB</v>
      </c>
      <c r="H15" s="1" t="s">
        <v>174</v>
      </c>
    </row>
    <row r="16" spans="1:12" x14ac:dyDescent="0.2">
      <c r="A16" s="32"/>
      <c r="B16" s="1"/>
      <c r="C16" s="1"/>
      <c r="D16" s="1"/>
      <c r="E16" s="32"/>
      <c r="F16" s="1"/>
      <c r="G16" s="1"/>
      <c r="H16" s="1"/>
    </row>
    <row r="17" spans="1:8" x14ac:dyDescent="0.2">
      <c r="A17" s="33"/>
      <c r="C17" s="59" t="s">
        <v>186</v>
      </c>
      <c r="D17" s="59"/>
      <c r="E17" s="59"/>
      <c r="F17" s="59"/>
      <c r="G17" s="59"/>
      <c r="H17">
        <f>DCOUNTA($E$5:$G$15,3,J5:K6)</f>
        <v>0</v>
      </c>
    </row>
    <row r="19" spans="1:8" x14ac:dyDescent="0.2">
      <c r="C19" s="1" t="s">
        <v>154</v>
      </c>
      <c r="D19" s="1" t="s">
        <v>77</v>
      </c>
      <c r="E19" s="1" t="s">
        <v>78</v>
      </c>
      <c r="F19" s="1" t="s">
        <v>79</v>
      </c>
      <c r="G19" s="14"/>
    </row>
    <row r="20" spans="1:8" x14ac:dyDescent="0.2">
      <c r="C20" s="1" t="s">
        <v>58</v>
      </c>
      <c r="D20" s="1" t="s">
        <v>184</v>
      </c>
      <c r="E20" s="1" t="s">
        <v>185</v>
      </c>
      <c r="F20" s="1" t="s">
        <v>185</v>
      </c>
      <c r="G20" s="14"/>
    </row>
  </sheetData>
  <mergeCells count="1">
    <mergeCell ref="C17:G17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bảng điểm thi học sinh giỏi</vt:lpstr>
      <vt:lpstr>bảng quản li lương</vt:lpstr>
      <vt:lpstr>bảng thống kê hàng hóa</vt:lpstr>
      <vt:lpstr>bảng điểm học bổng</vt:lpstr>
      <vt:lpstr>HV CLUB</vt:lpstr>
      <vt:lpstr>'bảng thống kê hàng hóa'!Criteria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caoagoapa</cp:lastModifiedBy>
  <dcterms:created xsi:type="dcterms:W3CDTF">2011-09-23T01:12:59Z</dcterms:created>
  <dcterms:modified xsi:type="dcterms:W3CDTF">2013-06-01T16:20:09Z</dcterms:modified>
</cp:coreProperties>
</file>