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120" yWindow="45" windowWidth="20115" windowHeight="7995" activeTab="1"/>
  </bookViews>
  <sheets>
    <sheet name="Plan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J27" i="1"/>
  <c r="DA13"/>
  <c r="CV13"/>
  <c r="DA12"/>
  <c r="CV12"/>
  <c r="CV16"/>
  <c r="DA17"/>
  <c r="CV17"/>
  <c r="DG9"/>
  <c r="DA16" s="1"/>
  <c r="DG8"/>
  <c r="DF8"/>
  <c r="DF9"/>
  <c r="AI13" l="1"/>
  <c r="AH14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9"/>
  <c r="AC9"/>
  <c r="AW109"/>
  <c r="B47"/>
  <c r="B71" s="1"/>
  <c r="B95" s="1"/>
  <c r="B119" s="1"/>
  <c r="ED13"/>
  <c r="EA13"/>
  <c r="EA17"/>
  <c r="EC17"/>
  <c r="ED17"/>
  <c r="EB13"/>
  <c r="EC13"/>
  <c r="EB17"/>
  <c r="EC8"/>
  <c r="EA8"/>
  <c r="EA9"/>
  <c r="EB9"/>
  <c r="EC9"/>
  <c r="ED9"/>
  <c r="ED8"/>
  <c r="EB8"/>
  <c r="AC13" l="1"/>
  <c r="CZ18"/>
  <c r="CZ14"/>
  <c r="CX14"/>
  <c r="CX18"/>
  <c r="DC21" s="1"/>
  <c r="CX27" s="1"/>
  <c r="CE69" l="1"/>
  <c r="CE68"/>
  <c r="CE67"/>
  <c r="CE66"/>
  <c r="CE65"/>
  <c r="CE64"/>
  <c r="CD69"/>
  <c r="CD68"/>
  <c r="CD67"/>
  <c r="CF67" s="1"/>
  <c r="CD66"/>
  <c r="CD65"/>
  <c r="CD64"/>
  <c r="CF64" s="1"/>
  <c r="BO64"/>
  <c r="BO111"/>
  <c r="BU111" s="1"/>
  <c r="BI111"/>
  <c r="BT111" s="1"/>
  <c r="BO110"/>
  <c r="BU110" s="1"/>
  <c r="BI110"/>
  <c r="BT110" s="1"/>
  <c r="BO109"/>
  <c r="BU109" s="1"/>
  <c r="BI109"/>
  <c r="BR109" s="1"/>
  <c r="BO108"/>
  <c r="BU108" s="1"/>
  <c r="BI108"/>
  <c r="BT108" s="1"/>
  <c r="BO107"/>
  <c r="BU107" s="1"/>
  <c r="BI107"/>
  <c r="BT107" s="1"/>
  <c r="BO106"/>
  <c r="BU106" s="1"/>
  <c r="BI106"/>
  <c r="BT106" s="1"/>
  <c r="BO105"/>
  <c r="BU105" s="1"/>
  <c r="BI105"/>
  <c r="BT105" s="1"/>
  <c r="BO104"/>
  <c r="BU104" s="1"/>
  <c r="BI104"/>
  <c r="BT104" s="1"/>
  <c r="BO103"/>
  <c r="BU103" s="1"/>
  <c r="BI103"/>
  <c r="BT103" s="1"/>
  <c r="BO102"/>
  <c r="BU102" s="1"/>
  <c r="BI102"/>
  <c r="BT102" s="1"/>
  <c r="BO101"/>
  <c r="BU101" s="1"/>
  <c r="BI101"/>
  <c r="BT101" s="1"/>
  <c r="BO100"/>
  <c r="BU100" s="1"/>
  <c r="BI100"/>
  <c r="BT100" s="1"/>
  <c r="BO99"/>
  <c r="BU99" s="1"/>
  <c r="BI99"/>
  <c r="BR99" s="1"/>
  <c r="BO98"/>
  <c r="BU98" s="1"/>
  <c r="BI98"/>
  <c r="BT98" s="1"/>
  <c r="BO97"/>
  <c r="BU97" s="1"/>
  <c r="BI97"/>
  <c r="BT97" s="1"/>
  <c r="BO96"/>
  <c r="BU96" s="1"/>
  <c r="BI96"/>
  <c r="BT96" s="1"/>
  <c r="BO95"/>
  <c r="BU95" s="1"/>
  <c r="BI95"/>
  <c r="BT95" s="1"/>
  <c r="BO94"/>
  <c r="BU94" s="1"/>
  <c r="BI94"/>
  <c r="BT94" s="1"/>
  <c r="BO93"/>
  <c r="BU93" s="1"/>
  <c r="BI93"/>
  <c r="BT93" s="1"/>
  <c r="BO92"/>
  <c r="BU92" s="1"/>
  <c r="BI92"/>
  <c r="BT92" s="1"/>
  <c r="BO91"/>
  <c r="BU91" s="1"/>
  <c r="BI91"/>
  <c r="BR91" s="1"/>
  <c r="BO90"/>
  <c r="BU90" s="1"/>
  <c r="BI90"/>
  <c r="BT90" s="1"/>
  <c r="BO89"/>
  <c r="BU89" s="1"/>
  <c r="BI89"/>
  <c r="BT89" s="1"/>
  <c r="BO88"/>
  <c r="BU88" s="1"/>
  <c r="BI88"/>
  <c r="BT88" s="1"/>
  <c r="BO87"/>
  <c r="BU87" s="1"/>
  <c r="BI87"/>
  <c r="BT87" s="1"/>
  <c r="BO86"/>
  <c r="BU86" s="1"/>
  <c r="BI86"/>
  <c r="BT86" s="1"/>
  <c r="BO85"/>
  <c r="BU85" s="1"/>
  <c r="BI85"/>
  <c r="BT85" s="1"/>
  <c r="BO84"/>
  <c r="BU84" s="1"/>
  <c r="BI84"/>
  <c r="BT84" s="1"/>
  <c r="BO83"/>
  <c r="BU83" s="1"/>
  <c r="BI83"/>
  <c r="BT83" s="1"/>
  <c r="BO82"/>
  <c r="BU82" s="1"/>
  <c r="BI82"/>
  <c r="BT82" s="1"/>
  <c r="BO81"/>
  <c r="BU81" s="1"/>
  <c r="BI81"/>
  <c r="BT81" s="1"/>
  <c r="BO80"/>
  <c r="BU80" s="1"/>
  <c r="BI80"/>
  <c r="BR80" s="1"/>
  <c r="BO79"/>
  <c r="BU79" s="1"/>
  <c r="BI79"/>
  <c r="BT79" s="1"/>
  <c r="BO78"/>
  <c r="BU78" s="1"/>
  <c r="BI78"/>
  <c r="BT78" s="1"/>
  <c r="BO77"/>
  <c r="BU77" s="1"/>
  <c r="BI77"/>
  <c r="BT77" s="1"/>
  <c r="BO76"/>
  <c r="BU76" s="1"/>
  <c r="BI76"/>
  <c r="BT76" s="1"/>
  <c r="BO75"/>
  <c r="BU75" s="1"/>
  <c r="BI75"/>
  <c r="BT75" s="1"/>
  <c r="BO74"/>
  <c r="BU74" s="1"/>
  <c r="BI74"/>
  <c r="BT74" s="1"/>
  <c r="BO73"/>
  <c r="BU73" s="1"/>
  <c r="BI73"/>
  <c r="BT73" s="1"/>
  <c r="BO72"/>
  <c r="BU72" s="1"/>
  <c r="BI72"/>
  <c r="BT72" s="1"/>
  <c r="BO71"/>
  <c r="BU71" s="1"/>
  <c r="BI71"/>
  <c r="BT71" s="1"/>
  <c r="BO70"/>
  <c r="BU70" s="1"/>
  <c r="BI70"/>
  <c r="BT70" s="1"/>
  <c r="BO69"/>
  <c r="BU69" s="1"/>
  <c r="BI69"/>
  <c r="BT69" s="1"/>
  <c r="BO68"/>
  <c r="BU68" s="1"/>
  <c r="BI68"/>
  <c r="BT68" s="1"/>
  <c r="BO67"/>
  <c r="BU67" s="1"/>
  <c r="BI67"/>
  <c r="BT67" s="1"/>
  <c r="BO66"/>
  <c r="BU66" s="1"/>
  <c r="BI66"/>
  <c r="BT66" s="1"/>
  <c r="BO65"/>
  <c r="BI65"/>
  <c r="BI64"/>
  <c r="BR64" s="1"/>
  <c r="CE14"/>
  <c r="CE13"/>
  <c r="CE12"/>
  <c r="CE11"/>
  <c r="CE10"/>
  <c r="CE9"/>
  <c r="CD14"/>
  <c r="CF14" s="1"/>
  <c r="CD13"/>
  <c r="CF13" s="1"/>
  <c r="CD12"/>
  <c r="CF12" s="1"/>
  <c r="CD11"/>
  <c r="CF11" s="1"/>
  <c r="CD10"/>
  <c r="CF10" s="1"/>
  <c r="CD9"/>
  <c r="CF9" s="1"/>
  <c r="BI10"/>
  <c r="BP10" s="1"/>
  <c r="BI11"/>
  <c r="BT11" s="1"/>
  <c r="BI12"/>
  <c r="BP12" s="1"/>
  <c r="BI13"/>
  <c r="BT13" s="1"/>
  <c r="BI14"/>
  <c r="BP14" s="1"/>
  <c r="BI15"/>
  <c r="BT15" s="1"/>
  <c r="BI16"/>
  <c r="BP16" s="1"/>
  <c r="BI17"/>
  <c r="BT17" s="1"/>
  <c r="BI18"/>
  <c r="BP18" s="1"/>
  <c r="BI19"/>
  <c r="BT19" s="1"/>
  <c r="BI20"/>
  <c r="BP20" s="1"/>
  <c r="BI21"/>
  <c r="BT21" s="1"/>
  <c r="BI22"/>
  <c r="BT22" s="1"/>
  <c r="BI23"/>
  <c r="BT23" s="1"/>
  <c r="BI24"/>
  <c r="BT24" s="1"/>
  <c r="BI25"/>
  <c r="BT25" s="1"/>
  <c r="BI26"/>
  <c r="BT26" s="1"/>
  <c r="BI27"/>
  <c r="BT27" s="1"/>
  <c r="BI28"/>
  <c r="BT28" s="1"/>
  <c r="BI29"/>
  <c r="BT29" s="1"/>
  <c r="BI30"/>
  <c r="BT30" s="1"/>
  <c r="BI31"/>
  <c r="BT31" s="1"/>
  <c r="BI32"/>
  <c r="BT32" s="1"/>
  <c r="BI33"/>
  <c r="BT33" s="1"/>
  <c r="BI34"/>
  <c r="BT34" s="1"/>
  <c r="BI35"/>
  <c r="BT35" s="1"/>
  <c r="BI36"/>
  <c r="BT36" s="1"/>
  <c r="BI37"/>
  <c r="BT37" s="1"/>
  <c r="BI38"/>
  <c r="BT38" s="1"/>
  <c r="BI39"/>
  <c r="BT39" s="1"/>
  <c r="BI40"/>
  <c r="BT40" s="1"/>
  <c r="BI41"/>
  <c r="BT41" s="1"/>
  <c r="BI42"/>
  <c r="BT42" s="1"/>
  <c r="BI43"/>
  <c r="BT43" s="1"/>
  <c r="BI44"/>
  <c r="BT44" s="1"/>
  <c r="BI45"/>
  <c r="BT45" s="1"/>
  <c r="BI46"/>
  <c r="BT46" s="1"/>
  <c r="BI47"/>
  <c r="BT47" s="1"/>
  <c r="BI48"/>
  <c r="BT48" s="1"/>
  <c r="BI49"/>
  <c r="BT49" s="1"/>
  <c r="BI50"/>
  <c r="BT50" s="1"/>
  <c r="BI51"/>
  <c r="BT51" s="1"/>
  <c r="BI52"/>
  <c r="BT52" s="1"/>
  <c r="BI53"/>
  <c r="BT53" s="1"/>
  <c r="BI54"/>
  <c r="BT54" s="1"/>
  <c r="BI55"/>
  <c r="BT55" s="1"/>
  <c r="BI56"/>
  <c r="BT56" s="1"/>
  <c r="BI9"/>
  <c r="BT9" s="1"/>
  <c r="BO10"/>
  <c r="BU10" s="1"/>
  <c r="M9"/>
  <c r="BO9"/>
  <c r="BO56"/>
  <c r="BU56" s="1"/>
  <c r="BO55"/>
  <c r="BU55" s="1"/>
  <c r="BO54"/>
  <c r="BU54" s="1"/>
  <c r="BO53"/>
  <c r="BU53" s="1"/>
  <c r="BO52"/>
  <c r="BU52" s="1"/>
  <c r="BO51"/>
  <c r="BU51" s="1"/>
  <c r="BO50"/>
  <c r="BU50" s="1"/>
  <c r="BO49"/>
  <c r="BU49" s="1"/>
  <c r="BO48"/>
  <c r="BU48" s="1"/>
  <c r="BO47"/>
  <c r="BU47" s="1"/>
  <c r="BO46"/>
  <c r="BU46" s="1"/>
  <c r="BO45"/>
  <c r="BU45" s="1"/>
  <c r="BO44"/>
  <c r="BU44" s="1"/>
  <c r="BO43"/>
  <c r="BU43" s="1"/>
  <c r="BO42"/>
  <c r="BU42" s="1"/>
  <c r="BO41"/>
  <c r="BU41" s="1"/>
  <c r="BO40"/>
  <c r="BU40" s="1"/>
  <c r="BO39"/>
  <c r="BU39" s="1"/>
  <c r="BO38"/>
  <c r="BU38" s="1"/>
  <c r="BO37"/>
  <c r="BU37" s="1"/>
  <c r="BO36"/>
  <c r="BU36" s="1"/>
  <c r="BO35"/>
  <c r="BU35" s="1"/>
  <c r="BO34"/>
  <c r="BU34" s="1"/>
  <c r="BO33"/>
  <c r="BU33" s="1"/>
  <c r="BO32"/>
  <c r="BU32" s="1"/>
  <c r="BO31"/>
  <c r="BU31" s="1"/>
  <c r="BO30"/>
  <c r="BU30" s="1"/>
  <c r="BO29"/>
  <c r="BU29" s="1"/>
  <c r="BO28"/>
  <c r="BU28" s="1"/>
  <c r="BO27"/>
  <c r="BU27" s="1"/>
  <c r="BO26"/>
  <c r="BU26" s="1"/>
  <c r="BO25"/>
  <c r="BU25" s="1"/>
  <c r="BO24"/>
  <c r="BU24" s="1"/>
  <c r="BO23"/>
  <c r="BU23" s="1"/>
  <c r="BO22"/>
  <c r="BU22" s="1"/>
  <c r="BO21"/>
  <c r="BU21" s="1"/>
  <c r="BO20"/>
  <c r="BU20" s="1"/>
  <c r="BO19"/>
  <c r="BU19" s="1"/>
  <c r="BO18"/>
  <c r="BU18" s="1"/>
  <c r="BO17"/>
  <c r="BU17" s="1"/>
  <c r="BO16"/>
  <c r="BO15"/>
  <c r="BU15" s="1"/>
  <c r="BO14"/>
  <c r="BU14" s="1"/>
  <c r="BO13"/>
  <c r="BU13" s="1"/>
  <c r="BO12"/>
  <c r="BU12" s="1"/>
  <c r="BO11"/>
  <c r="BU11" s="1"/>
  <c r="CF68" l="1"/>
  <c r="BY69"/>
  <c r="BY68"/>
  <c r="CH68" s="1"/>
  <c r="BY66"/>
  <c r="BR71"/>
  <c r="BR68"/>
  <c r="CF65"/>
  <c r="BY65"/>
  <c r="BY67"/>
  <c r="CH67" s="1"/>
  <c r="CF69"/>
  <c r="CH69" s="1"/>
  <c r="CF66"/>
  <c r="BQ64"/>
  <c r="BY64"/>
  <c r="CH64" s="1"/>
  <c r="BP64"/>
  <c r="BR79"/>
  <c r="BP80"/>
  <c r="BT80"/>
  <c r="BR85"/>
  <c r="BP91"/>
  <c r="BT91"/>
  <c r="BR94"/>
  <c r="BP99"/>
  <c r="BT99"/>
  <c r="BR104"/>
  <c r="BP109"/>
  <c r="BT109"/>
  <c r="BP79"/>
  <c r="BP85"/>
  <c r="BP94"/>
  <c r="BP104"/>
  <c r="BQ65"/>
  <c r="BS65"/>
  <c r="BU65"/>
  <c r="BT64"/>
  <c r="BP65"/>
  <c r="BR65"/>
  <c r="BT65"/>
  <c r="BQ66"/>
  <c r="BS66"/>
  <c r="BQ67"/>
  <c r="BS67"/>
  <c r="BP68"/>
  <c r="BP69"/>
  <c r="BR69"/>
  <c r="BP70"/>
  <c r="BR70"/>
  <c r="BP71"/>
  <c r="BQ72"/>
  <c r="BS72"/>
  <c r="BP73"/>
  <c r="BR73"/>
  <c r="BP74"/>
  <c r="BR74"/>
  <c r="BP75"/>
  <c r="BR75"/>
  <c r="BP76"/>
  <c r="BR76"/>
  <c r="BP77"/>
  <c r="BR77"/>
  <c r="BQ78"/>
  <c r="BS78"/>
  <c r="BQ79"/>
  <c r="BS79"/>
  <c r="BQ80"/>
  <c r="BS80"/>
  <c r="BP81"/>
  <c r="BR81"/>
  <c r="BQ82"/>
  <c r="BS82"/>
  <c r="BQ83"/>
  <c r="BS83"/>
  <c r="BQ84"/>
  <c r="BS84"/>
  <c r="BQ85"/>
  <c r="BS85"/>
  <c r="BQ86"/>
  <c r="BS86"/>
  <c r="BQ87"/>
  <c r="BS87"/>
  <c r="BQ88"/>
  <c r="BS88"/>
  <c r="BP89"/>
  <c r="BR89"/>
  <c r="BP90"/>
  <c r="BR90"/>
  <c r="BQ91"/>
  <c r="BS91"/>
  <c r="BP92"/>
  <c r="BR92"/>
  <c r="BP93"/>
  <c r="BR93"/>
  <c r="BQ94"/>
  <c r="BS94"/>
  <c r="BP95"/>
  <c r="BR95"/>
  <c r="BP96"/>
  <c r="BR96"/>
  <c r="BP97"/>
  <c r="BR97"/>
  <c r="BP98"/>
  <c r="BR98"/>
  <c r="BQ99"/>
  <c r="BS99"/>
  <c r="BQ100"/>
  <c r="BS100"/>
  <c r="BP101"/>
  <c r="BR101"/>
  <c r="BQ102"/>
  <c r="BS102"/>
  <c r="BQ103"/>
  <c r="BS103"/>
  <c r="BQ104"/>
  <c r="BS104"/>
  <c r="BQ105"/>
  <c r="BS105"/>
  <c r="BQ106"/>
  <c r="BS106"/>
  <c r="BP107"/>
  <c r="BR107"/>
  <c r="BQ108"/>
  <c r="BS108"/>
  <c r="BQ109"/>
  <c r="BS109"/>
  <c r="BP110"/>
  <c r="BR110"/>
  <c r="BQ111"/>
  <c r="BS111"/>
  <c r="BS64"/>
  <c r="BU64"/>
  <c r="BP66"/>
  <c r="BR66"/>
  <c r="BP67"/>
  <c r="BR67"/>
  <c r="BQ68"/>
  <c r="BS68"/>
  <c r="BQ69"/>
  <c r="BS69"/>
  <c r="BQ70"/>
  <c r="BS70"/>
  <c r="BQ71"/>
  <c r="BS71"/>
  <c r="BP72"/>
  <c r="BR72"/>
  <c r="BQ73"/>
  <c r="BS73"/>
  <c r="BQ74"/>
  <c r="BS74"/>
  <c r="BQ75"/>
  <c r="BS75"/>
  <c r="BQ76"/>
  <c r="BS76"/>
  <c r="BQ77"/>
  <c r="BS77"/>
  <c r="BP78"/>
  <c r="BR78"/>
  <c r="BQ81"/>
  <c r="BS81"/>
  <c r="BP82"/>
  <c r="BR82"/>
  <c r="BP83"/>
  <c r="BR83"/>
  <c r="BP84"/>
  <c r="BR84"/>
  <c r="BP86"/>
  <c r="BR86"/>
  <c r="BP87"/>
  <c r="BR87"/>
  <c r="BP88"/>
  <c r="BR88"/>
  <c r="BQ89"/>
  <c r="BS89"/>
  <c r="BQ90"/>
  <c r="BS90"/>
  <c r="BQ92"/>
  <c r="BS92"/>
  <c r="BQ93"/>
  <c r="BS93"/>
  <c r="BQ95"/>
  <c r="BS95"/>
  <c r="BQ96"/>
  <c r="BS96"/>
  <c r="BQ97"/>
  <c r="BS97"/>
  <c r="BQ98"/>
  <c r="BS98"/>
  <c r="BP100"/>
  <c r="BR100"/>
  <c r="BQ101"/>
  <c r="BS101"/>
  <c r="BP102"/>
  <c r="BR102"/>
  <c r="BP103"/>
  <c r="BR103"/>
  <c r="BP105"/>
  <c r="BR105"/>
  <c r="BP106"/>
  <c r="BR106"/>
  <c r="BQ107"/>
  <c r="BS107"/>
  <c r="BP108"/>
  <c r="BR108"/>
  <c r="BQ110"/>
  <c r="BS110"/>
  <c r="BP111"/>
  <c r="BR111"/>
  <c r="BY9"/>
  <c r="CH9" s="1"/>
  <c r="BY11"/>
  <c r="BY13"/>
  <c r="BY10"/>
  <c r="CH10" s="1"/>
  <c r="BY12"/>
  <c r="CH12" s="1"/>
  <c r="BY14"/>
  <c r="CH14" s="1"/>
  <c r="BP54"/>
  <c r="BP50"/>
  <c r="BP46"/>
  <c r="BP42"/>
  <c r="BP38"/>
  <c r="BP34"/>
  <c r="BP30"/>
  <c r="BP26"/>
  <c r="BP22"/>
  <c r="BR54"/>
  <c r="BR50"/>
  <c r="BR46"/>
  <c r="BR42"/>
  <c r="BR38"/>
  <c r="BR34"/>
  <c r="BR30"/>
  <c r="BR26"/>
  <c r="BR22"/>
  <c r="BR18"/>
  <c r="BR14"/>
  <c r="BR10"/>
  <c r="BT18"/>
  <c r="BT14"/>
  <c r="BT10"/>
  <c r="BP56"/>
  <c r="BP52"/>
  <c r="BP48"/>
  <c r="BP44"/>
  <c r="BP40"/>
  <c r="BP36"/>
  <c r="BP32"/>
  <c r="BP28"/>
  <c r="BP24"/>
  <c r="BR56"/>
  <c r="BR52"/>
  <c r="BR48"/>
  <c r="BR44"/>
  <c r="BR40"/>
  <c r="BR36"/>
  <c r="BR32"/>
  <c r="BR28"/>
  <c r="BR24"/>
  <c r="BR20"/>
  <c r="BR16"/>
  <c r="BR12"/>
  <c r="BT20"/>
  <c r="BT16"/>
  <c r="BT12"/>
  <c r="BP19"/>
  <c r="BP17"/>
  <c r="BP15"/>
  <c r="BP13"/>
  <c r="BP11"/>
  <c r="BP21"/>
  <c r="BP55"/>
  <c r="BP53"/>
  <c r="BP51"/>
  <c r="BP49"/>
  <c r="BP47"/>
  <c r="BP45"/>
  <c r="BP43"/>
  <c r="BP41"/>
  <c r="BP39"/>
  <c r="BP37"/>
  <c r="BP35"/>
  <c r="BP33"/>
  <c r="BP31"/>
  <c r="BP29"/>
  <c r="BP27"/>
  <c r="BP25"/>
  <c r="BP23"/>
  <c r="BQ10"/>
  <c r="BR55"/>
  <c r="BR53"/>
  <c r="BR51"/>
  <c r="BR49"/>
  <c r="BR47"/>
  <c r="BR45"/>
  <c r="BR43"/>
  <c r="BR41"/>
  <c r="BR39"/>
  <c r="BR37"/>
  <c r="BR35"/>
  <c r="BR33"/>
  <c r="BR31"/>
  <c r="BR29"/>
  <c r="BR27"/>
  <c r="BR25"/>
  <c r="BR23"/>
  <c r="BR21"/>
  <c r="BR19"/>
  <c r="BR17"/>
  <c r="BR15"/>
  <c r="BR13"/>
  <c r="BR11"/>
  <c r="BS10"/>
  <c r="BQ56"/>
  <c r="BQ54"/>
  <c r="BQ52"/>
  <c r="BQ50"/>
  <c r="BQ48"/>
  <c r="BQ46"/>
  <c r="BQ44"/>
  <c r="BQ42"/>
  <c r="BQ40"/>
  <c r="BQ38"/>
  <c r="BQ36"/>
  <c r="BQ34"/>
  <c r="BQ32"/>
  <c r="BQ30"/>
  <c r="BQ28"/>
  <c r="BQ26"/>
  <c r="BQ24"/>
  <c r="BQ22"/>
  <c r="BQ20"/>
  <c r="BQ18"/>
  <c r="BQ16"/>
  <c r="BQ14"/>
  <c r="BQ12"/>
  <c r="BS56"/>
  <c r="BS54"/>
  <c r="BS52"/>
  <c r="BS50"/>
  <c r="BS48"/>
  <c r="BS46"/>
  <c r="BS44"/>
  <c r="BS42"/>
  <c r="BS40"/>
  <c r="BS38"/>
  <c r="BS36"/>
  <c r="BS34"/>
  <c r="BS32"/>
  <c r="BS30"/>
  <c r="BS28"/>
  <c r="BS26"/>
  <c r="BS24"/>
  <c r="BS22"/>
  <c r="BS20"/>
  <c r="BS18"/>
  <c r="BS16"/>
  <c r="BS14"/>
  <c r="BS12"/>
  <c r="BU16"/>
  <c r="BQ55"/>
  <c r="BQ53"/>
  <c r="BQ51"/>
  <c r="BQ49"/>
  <c r="BQ47"/>
  <c r="BQ45"/>
  <c r="BQ43"/>
  <c r="BQ41"/>
  <c r="BQ39"/>
  <c r="BQ37"/>
  <c r="BQ35"/>
  <c r="BQ33"/>
  <c r="BQ31"/>
  <c r="BQ29"/>
  <c r="BQ27"/>
  <c r="BQ25"/>
  <c r="BQ23"/>
  <c r="BQ21"/>
  <c r="BQ19"/>
  <c r="BQ17"/>
  <c r="BQ15"/>
  <c r="BQ13"/>
  <c r="BQ11"/>
  <c r="BS55"/>
  <c r="BS53"/>
  <c r="BS51"/>
  <c r="BS49"/>
  <c r="BS47"/>
  <c r="BS45"/>
  <c r="BS43"/>
  <c r="BS41"/>
  <c r="BS39"/>
  <c r="BS37"/>
  <c r="BS35"/>
  <c r="BS33"/>
  <c r="BS31"/>
  <c r="BS29"/>
  <c r="BS27"/>
  <c r="BS25"/>
  <c r="BS23"/>
  <c r="BS21"/>
  <c r="BS19"/>
  <c r="BS17"/>
  <c r="BS15"/>
  <c r="BS13"/>
  <c r="BS11"/>
  <c r="BP9"/>
  <c r="BR9"/>
  <c r="BQ9"/>
  <c r="BS9"/>
  <c r="BU9"/>
  <c r="Y9"/>
  <c r="CH66" l="1"/>
  <c r="CH65"/>
  <c r="CH11"/>
  <c r="CH13"/>
  <c r="AI17"/>
  <c r="AI16"/>
  <c r="AI15"/>
  <c r="AI14"/>
  <c r="AI12"/>
  <c r="AI11"/>
  <c r="AI10"/>
  <c r="AI9"/>
  <c r="AH17"/>
  <c r="AH16"/>
  <c r="AH15"/>
  <c r="AH13"/>
  <c r="AH12"/>
  <c r="AH11"/>
  <c r="AH10"/>
  <c r="AH9"/>
  <c r="X9"/>
  <c r="Y10"/>
  <c r="Y11"/>
  <c r="Y14"/>
  <c r="Y20"/>
  <c r="Y26"/>
  <c r="Y32"/>
  <c r="Y38"/>
  <c r="Y44"/>
  <c r="Y50"/>
  <c r="Y56"/>
  <c r="Y62"/>
  <c r="Y68"/>
  <c r="Y74"/>
  <c r="Y80"/>
  <c r="Y86"/>
  <c r="Y92"/>
  <c r="Y98"/>
  <c r="Y104"/>
  <c r="Y110"/>
  <c r="CI65" l="1"/>
  <c r="CJ65" s="1"/>
  <c r="BF63" s="1"/>
  <c r="CI69"/>
  <c r="CJ69" s="1"/>
  <c r="BE67" s="1"/>
  <c r="CI68"/>
  <c r="CJ68" s="1"/>
  <c r="AY66" s="1"/>
  <c r="CI67"/>
  <c r="CJ67" s="1"/>
  <c r="BE65" s="1"/>
  <c r="CI66"/>
  <c r="CJ66" s="1"/>
  <c r="BF64" s="1"/>
  <c r="CI64"/>
  <c r="CJ64" s="1"/>
  <c r="BE62" s="1"/>
  <c r="AY64"/>
  <c r="BF62"/>
  <c r="CI9"/>
  <c r="CI11"/>
  <c r="CJ11" s="1"/>
  <c r="CI12"/>
  <c r="CJ12" s="1"/>
  <c r="CI14"/>
  <c r="CJ14" s="1"/>
  <c r="CI10"/>
  <c r="CJ10" s="1"/>
  <c r="CI13"/>
  <c r="CJ13" s="1"/>
  <c r="X109"/>
  <c r="V109"/>
  <c r="T109"/>
  <c r="X103"/>
  <c r="V103"/>
  <c r="T103"/>
  <c r="X97"/>
  <c r="V97"/>
  <c r="T97"/>
  <c r="X91"/>
  <c r="V91"/>
  <c r="T91"/>
  <c r="X85"/>
  <c r="V85"/>
  <c r="T85"/>
  <c r="X79"/>
  <c r="V79"/>
  <c r="T79"/>
  <c r="X73"/>
  <c r="V73"/>
  <c r="T73"/>
  <c r="X67"/>
  <c r="V67"/>
  <c r="T67"/>
  <c r="X61"/>
  <c r="V61"/>
  <c r="T61"/>
  <c r="X55"/>
  <c r="V55"/>
  <c r="T55"/>
  <c r="X49"/>
  <c r="V49"/>
  <c r="T49"/>
  <c r="X43"/>
  <c r="V43"/>
  <c r="T43"/>
  <c r="X37"/>
  <c r="V37"/>
  <c r="T37"/>
  <c r="X31"/>
  <c r="V31"/>
  <c r="T31"/>
  <c r="X25"/>
  <c r="V25"/>
  <c r="T25"/>
  <c r="X19"/>
  <c r="V19"/>
  <c r="T19"/>
  <c r="X13"/>
  <c r="V13"/>
  <c r="T13"/>
  <c r="Y109"/>
  <c r="W109"/>
  <c r="U109"/>
  <c r="Y103"/>
  <c r="W103"/>
  <c r="U103"/>
  <c r="Y97"/>
  <c r="W97"/>
  <c r="U97"/>
  <c r="Y91"/>
  <c r="W91"/>
  <c r="U91"/>
  <c r="Y85"/>
  <c r="W85"/>
  <c r="U85"/>
  <c r="Y79"/>
  <c r="W79"/>
  <c r="U79"/>
  <c r="Y73"/>
  <c r="W73"/>
  <c r="U73"/>
  <c r="Y67"/>
  <c r="W67"/>
  <c r="U67"/>
  <c r="Y61"/>
  <c r="W61"/>
  <c r="U61"/>
  <c r="Y55"/>
  <c r="W55"/>
  <c r="U55"/>
  <c r="Y49"/>
  <c r="W49"/>
  <c r="U49"/>
  <c r="Y43"/>
  <c r="W43"/>
  <c r="U43"/>
  <c r="Y37"/>
  <c r="W37"/>
  <c r="U37"/>
  <c r="Y31"/>
  <c r="W31"/>
  <c r="U31"/>
  <c r="Y25"/>
  <c r="W25"/>
  <c r="U25"/>
  <c r="Y19"/>
  <c r="W19"/>
  <c r="U19"/>
  <c r="Y13"/>
  <c r="W13"/>
  <c r="U13"/>
  <c r="X114"/>
  <c r="T114"/>
  <c r="V114"/>
  <c r="Y114"/>
  <c r="W114"/>
  <c r="U114"/>
  <c r="Y113"/>
  <c r="W113"/>
  <c r="U113"/>
  <c r="X113"/>
  <c r="V113"/>
  <c r="T113"/>
  <c r="X112"/>
  <c r="T112"/>
  <c r="V112"/>
  <c r="Y112"/>
  <c r="W112"/>
  <c r="U112"/>
  <c r="Y111"/>
  <c r="W111"/>
  <c r="U111"/>
  <c r="X111"/>
  <c r="V111"/>
  <c r="T111"/>
  <c r="T108"/>
  <c r="X108"/>
  <c r="V108"/>
  <c r="Y108"/>
  <c r="W108"/>
  <c r="U108"/>
  <c r="Y107"/>
  <c r="W107"/>
  <c r="U107"/>
  <c r="T107"/>
  <c r="X107"/>
  <c r="V107"/>
  <c r="T106"/>
  <c r="X106"/>
  <c r="V106"/>
  <c r="Y106"/>
  <c r="W106"/>
  <c r="U106"/>
  <c r="Y105"/>
  <c r="W105"/>
  <c r="U105"/>
  <c r="T105"/>
  <c r="X105"/>
  <c r="V105"/>
  <c r="X102"/>
  <c r="V102"/>
  <c r="T102"/>
  <c r="Y102"/>
  <c r="W102"/>
  <c r="U102"/>
  <c r="Y101"/>
  <c r="W101"/>
  <c r="U101"/>
  <c r="X101"/>
  <c r="V101"/>
  <c r="T101"/>
  <c r="X100"/>
  <c r="V100"/>
  <c r="T100"/>
  <c r="Y100"/>
  <c r="W100"/>
  <c r="U100"/>
  <c r="Y99"/>
  <c r="W99"/>
  <c r="U99"/>
  <c r="X99"/>
  <c r="V99"/>
  <c r="T99"/>
  <c r="T96"/>
  <c r="X96"/>
  <c r="V96"/>
  <c r="Y96"/>
  <c r="W96"/>
  <c r="U96"/>
  <c r="Y95"/>
  <c r="W95"/>
  <c r="U95"/>
  <c r="T95"/>
  <c r="X95"/>
  <c r="V95"/>
  <c r="Y94"/>
  <c r="W94"/>
  <c r="U94"/>
  <c r="X94"/>
  <c r="V94"/>
  <c r="T94"/>
  <c r="Y93"/>
  <c r="W93"/>
  <c r="U93"/>
  <c r="T93"/>
  <c r="X93"/>
  <c r="V93"/>
  <c r="Y90"/>
  <c r="W90"/>
  <c r="U90"/>
  <c r="T90"/>
  <c r="X90"/>
  <c r="V90"/>
  <c r="Y89"/>
  <c r="W89"/>
  <c r="U89"/>
  <c r="X89"/>
  <c r="V89"/>
  <c r="T89"/>
  <c r="X88"/>
  <c r="V88"/>
  <c r="T88"/>
  <c r="Y88"/>
  <c r="W88"/>
  <c r="U88"/>
  <c r="Y87"/>
  <c r="W87"/>
  <c r="U87"/>
  <c r="X87"/>
  <c r="V87"/>
  <c r="T87"/>
  <c r="T84"/>
  <c r="X84"/>
  <c r="V84"/>
  <c r="Y84"/>
  <c r="W84"/>
  <c r="U84"/>
  <c r="Y83"/>
  <c r="W83"/>
  <c r="U83"/>
  <c r="T83"/>
  <c r="X83"/>
  <c r="V83"/>
  <c r="T82"/>
  <c r="X82"/>
  <c r="V82"/>
  <c r="Y82"/>
  <c r="W82"/>
  <c r="U82"/>
  <c r="X81"/>
  <c r="V81"/>
  <c r="T81"/>
  <c r="Y81"/>
  <c r="W81"/>
  <c r="U81"/>
  <c r="X78"/>
  <c r="V78"/>
  <c r="T78"/>
  <c r="Y78"/>
  <c r="W78"/>
  <c r="U78"/>
  <c r="Y77"/>
  <c r="W77"/>
  <c r="U77"/>
  <c r="X77"/>
  <c r="V77"/>
  <c r="T77"/>
  <c r="X76"/>
  <c r="V76"/>
  <c r="T76"/>
  <c r="Y76"/>
  <c r="W76"/>
  <c r="U76"/>
  <c r="Y75"/>
  <c r="W75"/>
  <c r="U75"/>
  <c r="X75"/>
  <c r="V75"/>
  <c r="T75"/>
  <c r="T72"/>
  <c r="X72"/>
  <c r="V72"/>
  <c r="Y72"/>
  <c r="W72"/>
  <c r="U72"/>
  <c r="X71"/>
  <c r="V71"/>
  <c r="T71"/>
  <c r="Y71"/>
  <c r="W71"/>
  <c r="U71"/>
  <c r="T70"/>
  <c r="X70"/>
  <c r="V70"/>
  <c r="Y70"/>
  <c r="W70"/>
  <c r="U70"/>
  <c r="X69"/>
  <c r="V69"/>
  <c r="T69"/>
  <c r="Y69"/>
  <c r="W69"/>
  <c r="U69"/>
  <c r="X66"/>
  <c r="V66"/>
  <c r="T66"/>
  <c r="Y66"/>
  <c r="W66"/>
  <c r="U66"/>
  <c r="Y65"/>
  <c r="W65"/>
  <c r="U65"/>
  <c r="X65"/>
  <c r="V65"/>
  <c r="T65"/>
  <c r="Y64"/>
  <c r="W64"/>
  <c r="U64"/>
  <c r="T64"/>
  <c r="X64"/>
  <c r="V64"/>
  <c r="Y63"/>
  <c r="W63"/>
  <c r="U63"/>
  <c r="X63"/>
  <c r="V63"/>
  <c r="T63"/>
  <c r="T60"/>
  <c r="X60"/>
  <c r="V60"/>
  <c r="Y60"/>
  <c r="W60"/>
  <c r="U60"/>
  <c r="Y59"/>
  <c r="W59"/>
  <c r="U59"/>
  <c r="T59"/>
  <c r="X59"/>
  <c r="V59"/>
  <c r="T58"/>
  <c r="X58"/>
  <c r="V58"/>
  <c r="Y58"/>
  <c r="W58"/>
  <c r="U58"/>
  <c r="Y57"/>
  <c r="W57"/>
  <c r="U57"/>
  <c r="T57"/>
  <c r="X57"/>
  <c r="V57"/>
  <c r="X54"/>
  <c r="V54"/>
  <c r="T54"/>
  <c r="Y54"/>
  <c r="W54"/>
  <c r="U54"/>
  <c r="Y53"/>
  <c r="W53"/>
  <c r="U53"/>
  <c r="X53"/>
  <c r="V53"/>
  <c r="T53"/>
  <c r="X52"/>
  <c r="V52"/>
  <c r="T52"/>
  <c r="Y52"/>
  <c r="W52"/>
  <c r="U52"/>
  <c r="Y51"/>
  <c r="W51"/>
  <c r="U51"/>
  <c r="X51"/>
  <c r="V51"/>
  <c r="T51"/>
  <c r="T48"/>
  <c r="X48"/>
  <c r="V48"/>
  <c r="Y48"/>
  <c r="W48"/>
  <c r="U48"/>
  <c r="X47"/>
  <c r="V47"/>
  <c r="T47"/>
  <c r="Y47"/>
  <c r="W47"/>
  <c r="U47"/>
  <c r="T46"/>
  <c r="X46"/>
  <c r="V46"/>
  <c r="Y46"/>
  <c r="W46"/>
  <c r="U46"/>
  <c r="Y45"/>
  <c r="W45"/>
  <c r="U45"/>
  <c r="T45"/>
  <c r="X45"/>
  <c r="V45"/>
  <c r="X42"/>
  <c r="V42"/>
  <c r="T42"/>
  <c r="Y42"/>
  <c r="W42"/>
  <c r="U42"/>
  <c r="Y41"/>
  <c r="W41"/>
  <c r="U41"/>
  <c r="X41"/>
  <c r="V41"/>
  <c r="T41"/>
  <c r="X40"/>
  <c r="V40"/>
  <c r="T40"/>
  <c r="Y40"/>
  <c r="W40"/>
  <c r="U40"/>
  <c r="Y39"/>
  <c r="W39"/>
  <c r="U39"/>
  <c r="X39"/>
  <c r="V39"/>
  <c r="T39"/>
  <c r="T36"/>
  <c r="X36"/>
  <c r="V36"/>
  <c r="Y36"/>
  <c r="W36"/>
  <c r="U36"/>
  <c r="Y35"/>
  <c r="W35"/>
  <c r="U35"/>
  <c r="T35"/>
  <c r="X35"/>
  <c r="V35"/>
  <c r="T34"/>
  <c r="X34"/>
  <c r="V34"/>
  <c r="Y34"/>
  <c r="W34"/>
  <c r="U34"/>
  <c r="X33"/>
  <c r="V33"/>
  <c r="T33"/>
  <c r="Y33"/>
  <c r="W33"/>
  <c r="U33"/>
  <c r="AC14"/>
  <c r="X30"/>
  <c r="V30"/>
  <c r="T30"/>
  <c r="Y30"/>
  <c r="W30"/>
  <c r="U30"/>
  <c r="Y29"/>
  <c r="W29"/>
  <c r="U29"/>
  <c r="X29"/>
  <c r="V29"/>
  <c r="T29"/>
  <c r="X28"/>
  <c r="V28"/>
  <c r="T28"/>
  <c r="Y28"/>
  <c r="W28"/>
  <c r="U28"/>
  <c r="Y27"/>
  <c r="W27"/>
  <c r="U27"/>
  <c r="X27"/>
  <c r="V27"/>
  <c r="T27"/>
  <c r="T24"/>
  <c r="X24"/>
  <c r="V24"/>
  <c r="Y24"/>
  <c r="W24"/>
  <c r="U24"/>
  <c r="Y23"/>
  <c r="W23"/>
  <c r="U23"/>
  <c r="T23"/>
  <c r="X23"/>
  <c r="V23"/>
  <c r="Y21"/>
  <c r="W21"/>
  <c r="U21"/>
  <c r="T21"/>
  <c r="X21"/>
  <c r="V21"/>
  <c r="X22"/>
  <c r="V22"/>
  <c r="T22"/>
  <c r="Y22"/>
  <c r="W22"/>
  <c r="U22"/>
  <c r="X18"/>
  <c r="V18"/>
  <c r="T18"/>
  <c r="Y18"/>
  <c r="W18"/>
  <c r="U18"/>
  <c r="X15"/>
  <c r="V15"/>
  <c r="T15"/>
  <c r="Y15"/>
  <c r="W15"/>
  <c r="U15"/>
  <c r="Y16"/>
  <c r="W16"/>
  <c r="U16"/>
  <c r="X16"/>
  <c r="V16"/>
  <c r="T16"/>
  <c r="AJ15"/>
  <c r="X17"/>
  <c r="V17"/>
  <c r="T17"/>
  <c r="Y17"/>
  <c r="W17"/>
  <c r="U17"/>
  <c r="AC15"/>
  <c r="AC12"/>
  <c r="Y12"/>
  <c r="AJ17"/>
  <c r="AJ12"/>
  <c r="T12"/>
  <c r="X12"/>
  <c r="V12"/>
  <c r="W12"/>
  <c r="U12"/>
  <c r="AC17"/>
  <c r="AJ13"/>
  <c r="AJ14"/>
  <c r="W11"/>
  <c r="U11"/>
  <c r="X11"/>
  <c r="V11"/>
  <c r="T11"/>
  <c r="AJ9"/>
  <c r="AJ16"/>
  <c r="W9"/>
  <c r="AC10"/>
  <c r="AC11"/>
  <c r="T9"/>
  <c r="T10"/>
  <c r="V10"/>
  <c r="X10"/>
  <c r="U10"/>
  <c r="W10"/>
  <c r="AC16"/>
  <c r="AJ11"/>
  <c r="AJ10"/>
  <c r="U9"/>
  <c r="V9"/>
  <c r="W14"/>
  <c r="U14"/>
  <c r="T14"/>
  <c r="X14"/>
  <c r="V14"/>
  <c r="X20"/>
  <c r="V20"/>
  <c r="T20"/>
  <c r="W20"/>
  <c r="U20"/>
  <c r="W26"/>
  <c r="U26"/>
  <c r="T26"/>
  <c r="X26"/>
  <c r="V26"/>
  <c r="W32"/>
  <c r="U32"/>
  <c r="X32"/>
  <c r="V32"/>
  <c r="T32"/>
  <c r="X38"/>
  <c r="V38"/>
  <c r="T38"/>
  <c r="W38"/>
  <c r="U38"/>
  <c r="W44"/>
  <c r="U44"/>
  <c r="X44"/>
  <c r="V44"/>
  <c r="T44"/>
  <c r="W50"/>
  <c r="U50"/>
  <c r="T50"/>
  <c r="X50"/>
  <c r="V50"/>
  <c r="X56"/>
  <c r="V56"/>
  <c r="T56"/>
  <c r="W56"/>
  <c r="U56"/>
  <c r="W62"/>
  <c r="U62"/>
  <c r="T62"/>
  <c r="V62"/>
  <c r="X62"/>
  <c r="W68"/>
  <c r="U68"/>
  <c r="X68"/>
  <c r="V68"/>
  <c r="T68"/>
  <c r="W74"/>
  <c r="U74"/>
  <c r="T74"/>
  <c r="X74"/>
  <c r="V74"/>
  <c r="W80"/>
  <c r="U80"/>
  <c r="X80"/>
  <c r="T80"/>
  <c r="V80"/>
  <c r="X86"/>
  <c r="V86"/>
  <c r="T86"/>
  <c r="W86"/>
  <c r="U86"/>
  <c r="W92"/>
  <c r="U92"/>
  <c r="X92"/>
  <c r="V92"/>
  <c r="T92"/>
  <c r="W98"/>
  <c r="U98"/>
  <c r="T98"/>
  <c r="X98"/>
  <c r="V98"/>
  <c r="T104"/>
  <c r="X104"/>
  <c r="V104"/>
  <c r="W104"/>
  <c r="U104"/>
  <c r="T110"/>
  <c r="X110"/>
  <c r="V110"/>
  <c r="W110"/>
  <c r="U110"/>
  <c r="BF65" l="1"/>
  <c r="BF67"/>
  <c r="BD65"/>
  <c r="BD67"/>
  <c r="BD62"/>
  <c r="AY63"/>
  <c r="BE63"/>
  <c r="AY65"/>
  <c r="AY67"/>
  <c r="AY62"/>
  <c r="BD66"/>
  <c r="BD63"/>
  <c r="BF66"/>
  <c r="BE66"/>
  <c r="BE64"/>
  <c r="BD64"/>
  <c r="CJ9"/>
  <c r="BF7" s="1"/>
  <c r="BF11"/>
  <c r="BE11"/>
  <c r="BD11"/>
  <c r="AY11"/>
  <c r="AY12"/>
  <c r="BF12"/>
  <c r="BE12"/>
  <c r="BD12"/>
  <c r="BF9"/>
  <c r="BE9"/>
  <c r="BD9"/>
  <c r="AY9"/>
  <c r="AY8"/>
  <c r="BF8"/>
  <c r="BE8"/>
  <c r="BD8"/>
  <c r="AY10"/>
  <c r="BF10"/>
  <c r="BE10"/>
  <c r="BD10"/>
  <c r="AL13"/>
  <c r="AG17"/>
  <c r="AG13"/>
  <c r="AE16"/>
  <c r="AF12"/>
  <c r="AG11"/>
  <c r="AG16"/>
  <c r="AE11"/>
  <c r="AG15"/>
  <c r="AE13"/>
  <c r="AE15"/>
  <c r="AE10"/>
  <c r="AF9"/>
  <c r="AG12"/>
  <c r="AG10"/>
  <c r="AL12"/>
  <c r="AG9"/>
  <c r="AE9"/>
  <c r="AE14"/>
  <c r="AE17"/>
  <c r="AF15"/>
  <c r="AF16"/>
  <c r="AF13"/>
  <c r="AF14"/>
  <c r="AL14"/>
  <c r="AE12"/>
  <c r="AF11"/>
  <c r="AF17"/>
  <c r="AL10"/>
  <c r="AF10"/>
  <c r="AL15"/>
  <c r="AG14"/>
  <c r="AL17"/>
  <c r="AL9"/>
  <c r="AL11"/>
  <c r="AL16"/>
  <c r="AD13" l="1"/>
  <c r="BE7"/>
  <c r="AZ78"/>
  <c r="AZ107" s="1"/>
  <c r="AZ79"/>
  <c r="AZ108" s="1"/>
  <c r="BD7"/>
  <c r="AZ24" s="1"/>
  <c r="AZ53" s="1"/>
  <c r="AY7"/>
  <c r="AD11"/>
  <c r="AD16"/>
  <c r="AK16" s="1"/>
  <c r="AK13"/>
  <c r="AD15"/>
  <c r="AK15" s="1"/>
  <c r="AD12"/>
  <c r="AK12" s="1"/>
  <c r="AD9"/>
  <c r="AK9" s="1"/>
  <c r="AD17"/>
  <c r="AK17" s="1"/>
  <c r="AD14"/>
  <c r="AK14" s="1"/>
  <c r="AK11"/>
  <c r="AM14"/>
  <c r="AN14" s="1"/>
  <c r="AM16"/>
  <c r="AN16" s="1"/>
  <c r="AM13"/>
  <c r="AN13" s="1"/>
  <c r="H11" s="1"/>
  <c r="AM17"/>
  <c r="AN17" s="1"/>
  <c r="J15" s="1"/>
  <c r="AM15"/>
  <c r="AN15" s="1"/>
  <c r="J13" s="1"/>
  <c r="AM9"/>
  <c r="AM12"/>
  <c r="AN12" s="1"/>
  <c r="I10" s="1"/>
  <c r="AM11"/>
  <c r="AN11" s="1"/>
  <c r="AM10"/>
  <c r="AN10" s="1"/>
  <c r="C15"/>
  <c r="AN9" l="1"/>
  <c r="B7" s="1"/>
  <c r="D21" s="1"/>
  <c r="E40" s="1"/>
  <c r="E64" s="1"/>
  <c r="E88" s="1"/>
  <c r="E112" s="1"/>
  <c r="AZ23"/>
  <c r="AZ52" s="1"/>
  <c r="C14"/>
  <c r="B14"/>
  <c r="C7"/>
  <c r="I8"/>
  <c r="C8"/>
  <c r="C12"/>
  <c r="J12"/>
  <c r="H9"/>
  <c r="I9"/>
  <c r="B9"/>
  <c r="H21" s="1"/>
  <c r="I40" s="1"/>
  <c r="I64" s="1"/>
  <c r="I88" s="1"/>
  <c r="I112" s="1"/>
  <c r="F14"/>
  <c r="H14"/>
  <c r="I14"/>
  <c r="E14"/>
  <c r="G14"/>
  <c r="J9"/>
  <c r="J14"/>
  <c r="F15"/>
  <c r="H12"/>
  <c r="I12"/>
  <c r="G8"/>
  <c r="E12"/>
  <c r="B12"/>
  <c r="H13"/>
  <c r="E10"/>
  <c r="F12"/>
  <c r="G12"/>
  <c r="G13"/>
  <c r="F11"/>
  <c r="C10"/>
  <c r="E13"/>
  <c r="C13"/>
  <c r="C11"/>
  <c r="E11"/>
  <c r="G9"/>
  <c r="E15"/>
  <c r="H15"/>
  <c r="J11"/>
  <c r="J8"/>
  <c r="G10"/>
  <c r="J10"/>
  <c r="F13"/>
  <c r="B13"/>
  <c r="I13"/>
  <c r="G11"/>
  <c r="I11"/>
  <c r="B11"/>
  <c r="E9"/>
  <c r="F9"/>
  <c r="C9"/>
  <c r="G15"/>
  <c r="B15"/>
  <c r="I15"/>
  <c r="F8"/>
  <c r="H8"/>
  <c r="B8"/>
  <c r="F21" s="1"/>
  <c r="G40" s="1"/>
  <c r="G64" s="1"/>
  <c r="G88" s="1"/>
  <c r="G112" s="1"/>
  <c r="F10"/>
  <c r="H10"/>
  <c r="B10"/>
  <c r="AD10"/>
  <c r="D12" s="1"/>
  <c r="E8"/>
  <c r="J7" l="1"/>
  <c r="F7"/>
  <c r="D24" s="1"/>
  <c r="E43" s="1"/>
  <c r="E67" s="1"/>
  <c r="E91" s="1"/>
  <c r="E115" s="1"/>
  <c r="I7"/>
  <c r="E7"/>
  <c r="D23" s="1"/>
  <c r="E42" s="1"/>
  <c r="E66" s="1"/>
  <c r="E90" s="1"/>
  <c r="E114" s="1"/>
  <c r="H7"/>
  <c r="D26" s="1"/>
  <c r="E45" s="1"/>
  <c r="E69" s="1"/>
  <c r="E93" s="1"/>
  <c r="E117" s="1"/>
  <c r="G7"/>
  <c r="D25" s="1"/>
  <c r="E44" s="1"/>
  <c r="E68" s="1"/>
  <c r="E92" s="1"/>
  <c r="E116" s="1"/>
  <c r="D27"/>
  <c r="E46" s="1"/>
  <c r="E70" s="1"/>
  <c r="E94" s="1"/>
  <c r="E118" s="1"/>
  <c r="D7"/>
  <c r="D11"/>
  <c r="D9"/>
  <c r="D10"/>
  <c r="D13"/>
  <c r="D15"/>
  <c r="D14"/>
  <c r="AK10"/>
  <c r="K11" s="1"/>
  <c r="D8"/>
  <c r="D28" l="1"/>
  <c r="BX64"/>
  <c r="BX68"/>
  <c r="BX67"/>
  <c r="BX65"/>
  <c r="B21"/>
  <c r="B40" s="1"/>
  <c r="B64" s="1"/>
  <c r="B88" s="1"/>
  <c r="B112" s="1"/>
  <c r="BX69"/>
  <c r="BX66"/>
  <c r="BX14"/>
  <c r="AX12" s="1"/>
  <c r="BX12"/>
  <c r="BX13"/>
  <c r="K10"/>
  <c r="K7"/>
  <c r="K12"/>
  <c r="K9"/>
  <c r="K14"/>
  <c r="K13"/>
  <c r="K8"/>
  <c r="K15"/>
  <c r="AX10" l="1"/>
  <c r="BE18" s="1"/>
  <c r="BE47" s="1"/>
  <c r="AX11"/>
  <c r="BN85"/>
  <c r="BJ89" s="1"/>
  <c r="CN89" s="1"/>
  <c r="BN76"/>
  <c r="BN64"/>
  <c r="BJ79"/>
  <c r="CN79" s="1"/>
  <c r="BJ69"/>
  <c r="CN69" s="1"/>
  <c r="AX65"/>
  <c r="BJ71"/>
  <c r="CN71" s="1"/>
  <c r="BN75"/>
  <c r="BN79"/>
  <c r="BJ86" s="1"/>
  <c r="CN86" s="1"/>
  <c r="BN66"/>
  <c r="AX64"/>
  <c r="BN74"/>
  <c r="BJ81" s="1"/>
  <c r="CN81" s="1"/>
  <c r="BN70"/>
  <c r="BJ64"/>
  <c r="CN64" s="1"/>
  <c r="AX67"/>
  <c r="BE73" s="1"/>
  <c r="BN65"/>
  <c r="BJ70" s="1"/>
  <c r="CN70" s="1"/>
  <c r="AX62"/>
  <c r="BJ80"/>
  <c r="CN80" s="1"/>
  <c r="BN69"/>
  <c r="BN84"/>
  <c r="BN90" s="1"/>
  <c r="BJ94" s="1"/>
  <c r="CN94" s="1"/>
  <c r="BJ74"/>
  <c r="CN74" s="1"/>
  <c r="BJ66"/>
  <c r="CN66" s="1"/>
  <c r="AX66"/>
  <c r="BC73" s="1"/>
  <c r="BC102" s="1"/>
  <c r="BJ65"/>
  <c r="CN65" s="1"/>
  <c r="AX63"/>
  <c r="E47"/>
  <c r="E71" s="1"/>
  <c r="E95" s="1"/>
  <c r="E119" s="1"/>
  <c r="BN9"/>
  <c r="BJ16" s="1"/>
  <c r="CN16" s="1"/>
  <c r="AX8"/>
  <c r="BA18" s="1"/>
  <c r="BA47" s="1"/>
  <c r="BN10"/>
  <c r="BJ15" s="1"/>
  <c r="CN15" s="1"/>
  <c r="AX7"/>
  <c r="AY18" s="1"/>
  <c r="AY47" s="1"/>
  <c r="BJ10"/>
  <c r="CN10" s="1"/>
  <c r="AX9"/>
  <c r="BC18" s="1"/>
  <c r="BC47" s="1"/>
  <c r="BJ21" l="1"/>
  <c r="CN21" s="1"/>
  <c r="BN19"/>
  <c r="BN24" s="1"/>
  <c r="BJ29" s="1"/>
  <c r="CN29" s="1"/>
  <c r="BN71"/>
  <c r="BJ76" s="1"/>
  <c r="CN76" s="1"/>
  <c r="BJ75"/>
  <c r="CN75" s="1"/>
  <c r="BN94"/>
  <c r="BJ99" s="1"/>
  <c r="CN99" s="1"/>
  <c r="BE102"/>
  <c r="BN100"/>
  <c r="BN104" s="1"/>
  <c r="BJ110" s="1"/>
  <c r="CN110" s="1"/>
  <c r="BN86"/>
  <c r="BN89" s="1"/>
  <c r="BJ95" s="1"/>
  <c r="CN95" s="1"/>
  <c r="BJ90"/>
  <c r="CN90" s="1"/>
  <c r="BN14"/>
  <c r="BJ19" s="1"/>
  <c r="CN19" s="1"/>
  <c r="BN96" l="1"/>
  <c r="BJ101" s="1"/>
  <c r="CN101" s="1"/>
  <c r="BN106"/>
  <c r="BJ111" s="1"/>
  <c r="CN111" s="1"/>
  <c r="BN80"/>
  <c r="BJ85" s="1"/>
  <c r="CN85" s="1"/>
  <c r="BN81"/>
  <c r="BJ84" s="1"/>
  <c r="CN84" s="1"/>
  <c r="BJ36"/>
  <c r="CN36" s="1"/>
  <c r="BN25"/>
  <c r="BN29" s="1"/>
  <c r="BJ34" s="1"/>
  <c r="CN34" s="1"/>
  <c r="BJ100"/>
  <c r="CN100" s="1"/>
  <c r="BJ26"/>
  <c r="CN26" s="1"/>
  <c r="BN91" l="1"/>
  <c r="BJ96" s="1"/>
  <c r="CN96" s="1"/>
  <c r="BJ106"/>
  <c r="CN106" s="1"/>
  <c r="BN105"/>
  <c r="BJ109" s="1"/>
  <c r="CN109" s="1"/>
  <c r="BN39"/>
  <c r="BN44" s="1"/>
  <c r="BJ50" s="1"/>
  <c r="CN50" s="1"/>
  <c r="BN41"/>
  <c r="BJ45" s="1"/>
  <c r="CN45" s="1"/>
  <c r="BJ91"/>
  <c r="CN91" s="1"/>
  <c r="BN30"/>
  <c r="BN35" s="1"/>
  <c r="BJ40" s="1"/>
  <c r="CN40" s="1"/>
  <c r="BN95" l="1"/>
  <c r="BN101" s="1"/>
  <c r="BJ104" s="1"/>
  <c r="CN104" s="1"/>
  <c r="BN109"/>
  <c r="BN50"/>
  <c r="BJ54" s="1"/>
  <c r="CN54" s="1"/>
  <c r="BJ55"/>
  <c r="CN55" s="1"/>
  <c r="BN99"/>
  <c r="BJ105" s="1"/>
  <c r="CN105" s="1"/>
  <c r="BN45"/>
  <c r="BJ49" s="1"/>
  <c r="CN49" s="1"/>
  <c r="BN110" l="1"/>
  <c r="BN111"/>
  <c r="BN55"/>
  <c r="CA9" s="1"/>
  <c r="CA67" l="1"/>
  <c r="CB64"/>
  <c r="CB65"/>
  <c r="CA66"/>
  <c r="CC66"/>
  <c r="CB68"/>
  <c r="CC68"/>
  <c r="CB66"/>
  <c r="CA68"/>
  <c r="CB69"/>
  <c r="CB67"/>
  <c r="CA64"/>
  <c r="CC67"/>
  <c r="CA69"/>
  <c r="CC69"/>
  <c r="CC64"/>
  <c r="CA65"/>
  <c r="CC65"/>
  <c r="CA11"/>
  <c r="CB11"/>
  <c r="CB13"/>
  <c r="CA13"/>
  <c r="CC14"/>
  <c r="CC10"/>
  <c r="CC9"/>
  <c r="CA14"/>
  <c r="CC11"/>
  <c r="CB10"/>
  <c r="CC13"/>
  <c r="CB9"/>
  <c r="CA10"/>
  <c r="CB14"/>
  <c r="CB12"/>
  <c r="CA12"/>
  <c r="CC12"/>
  <c r="BA10" l="1"/>
  <c r="BB62"/>
  <c r="BB64"/>
  <c r="BC64"/>
  <c r="BA64"/>
  <c r="BC66"/>
  <c r="BC67"/>
  <c r="BB66"/>
  <c r="BB65"/>
  <c r="BC65"/>
  <c r="BC62"/>
  <c r="BC63"/>
  <c r="BB63"/>
  <c r="BA65"/>
  <c r="BB67"/>
  <c r="BA8"/>
  <c r="BA7"/>
  <c r="BA12"/>
  <c r="BZ66"/>
  <c r="CG66" s="1"/>
  <c r="BA66"/>
  <c r="BZ65"/>
  <c r="BZ68"/>
  <c r="BA63"/>
  <c r="BZ67"/>
  <c r="BZ69"/>
  <c r="BA62"/>
  <c r="BZ64"/>
  <c r="CG64" s="1"/>
  <c r="BA67"/>
  <c r="BC9"/>
  <c r="BB9"/>
  <c r="BA11"/>
  <c r="BC8"/>
  <c r="BC10"/>
  <c r="BC12"/>
  <c r="BC7"/>
  <c r="BB8"/>
  <c r="BB7"/>
  <c r="BB12"/>
  <c r="BB11"/>
  <c r="BC11"/>
  <c r="BB10"/>
  <c r="BZ14"/>
  <c r="BZ9"/>
  <c r="CG9" s="1"/>
  <c r="BZ10"/>
  <c r="BZ11"/>
  <c r="BZ13"/>
  <c r="BZ12"/>
  <c r="BA9"/>
  <c r="CG11"/>
  <c r="CG10"/>
  <c r="AZ65" l="1"/>
  <c r="AZ8"/>
  <c r="AZ7"/>
  <c r="AZ62"/>
  <c r="CG69"/>
  <c r="AZ64"/>
  <c r="CG67"/>
  <c r="CG68"/>
  <c r="AZ63"/>
  <c r="CG65"/>
  <c r="AZ66"/>
  <c r="AZ75"/>
  <c r="AZ104" s="1"/>
  <c r="AZ67"/>
  <c r="AZ21"/>
  <c r="AZ50" s="1"/>
  <c r="AZ22"/>
  <c r="AZ51" s="1"/>
  <c r="AZ20"/>
  <c r="AZ49" s="1"/>
  <c r="AZ10"/>
  <c r="AZ12"/>
  <c r="CG13"/>
  <c r="AZ11"/>
  <c r="AZ76"/>
  <c r="AZ105" s="1"/>
  <c r="AZ77"/>
  <c r="AZ106" s="1"/>
  <c r="CG14"/>
  <c r="CG12"/>
  <c r="AZ9"/>
  <c r="DA9" l="1"/>
  <c r="DA8"/>
  <c r="CV9"/>
  <c r="CV8"/>
  <c r="BG12"/>
  <c r="BG11"/>
  <c r="AZ80"/>
  <c r="AZ109" s="1"/>
  <c r="BG66"/>
  <c r="BG63"/>
  <c r="BG65"/>
  <c r="BG62"/>
  <c r="BG67"/>
  <c r="BG64"/>
  <c r="AZ25"/>
  <c r="AZ54" s="1"/>
  <c r="BG10"/>
  <c r="AW18"/>
  <c r="AW47" s="1"/>
  <c r="AW73"/>
  <c r="AW102" s="1"/>
  <c r="BG8"/>
  <c r="BG7"/>
  <c r="BG9"/>
  <c r="DC9" l="1"/>
  <c r="DK9"/>
  <c r="DR9" s="1"/>
  <c r="DC8"/>
  <c r="DK8"/>
  <c r="DR8" s="1"/>
  <c r="DP9"/>
  <c r="DP8"/>
  <c r="DC13" l="1"/>
  <c r="DP13"/>
  <c r="DK13"/>
  <c r="DR13" s="1"/>
  <c r="DK17"/>
  <c r="DR17" s="1"/>
  <c r="DC17" l="1"/>
  <c r="DP17"/>
</calcChain>
</file>

<file path=xl/sharedStrings.xml><?xml version="1.0" encoding="utf-8"?>
<sst xmlns="http://schemas.openxmlformats.org/spreadsheetml/2006/main" count="658" uniqueCount="86">
  <si>
    <t>C</t>
  </si>
  <si>
    <t>E</t>
  </si>
  <si>
    <t>P</t>
  </si>
  <si>
    <t>J</t>
  </si>
  <si>
    <t>V</t>
  </si>
  <si>
    <t>D</t>
  </si>
  <si>
    <t>GF</t>
  </si>
  <si>
    <t>GS</t>
  </si>
  <si>
    <t>SG</t>
  </si>
  <si>
    <t>%</t>
  </si>
  <si>
    <t>E1</t>
  </si>
  <si>
    <t>X</t>
  </si>
  <si>
    <t>E2</t>
  </si>
  <si>
    <t>G2</t>
  </si>
  <si>
    <t>Central</t>
  </si>
  <si>
    <t>Salgueiro</t>
  </si>
  <si>
    <t>Ypiranga</t>
  </si>
  <si>
    <t>1ª Rodada</t>
  </si>
  <si>
    <t>Chã Grande</t>
  </si>
  <si>
    <t>Vitória-PE</t>
  </si>
  <si>
    <t>América-PE</t>
  </si>
  <si>
    <t>Serra Talhada</t>
  </si>
  <si>
    <t>x</t>
  </si>
  <si>
    <t>2ª Rodada</t>
  </si>
  <si>
    <t>Pesqueira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</si>
  <si>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</si>
  <si>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</si>
  <si>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</si>
  <si>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</si>
  <si>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</si>
  <si>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</si>
  <si>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</si>
  <si>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</si>
  <si>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</si>
  <si>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12ª Rodada</t>
  </si>
  <si>
    <t>13ª Rodada</t>
  </si>
  <si>
    <t>14ª Rodada</t>
  </si>
  <si>
    <t>15ª Rodada</t>
  </si>
  <si>
    <t>16ª Rodada</t>
  </si>
  <si>
    <t>17ª Rodada</t>
  </si>
  <si>
    <t>18ª Rodada</t>
  </si>
  <si>
    <t>V1</t>
  </si>
  <si>
    <t>V2</t>
  </si>
  <si>
    <t>D1</t>
  </si>
  <si>
    <t>D2</t>
  </si>
  <si>
    <t>Calc</t>
  </si>
  <si>
    <t>Maior</t>
  </si>
  <si>
    <t>Corresp</t>
  </si>
  <si>
    <t>Porto</t>
  </si>
  <si>
    <t>Data</t>
  </si>
  <si>
    <t>Local</t>
  </si>
  <si>
    <t>Lacerdão</t>
  </si>
  <si>
    <t>Cornélio de Barros</t>
  </si>
  <si>
    <t>Carneirão</t>
  </si>
  <si>
    <t>Ademir Cunha</t>
  </si>
  <si>
    <t>Otávio Limeira</t>
  </si>
  <si>
    <t>Nildo Pereira</t>
  </si>
  <si>
    <t>Joaquim de Brito</t>
  </si>
  <si>
    <t>Aflitos</t>
  </si>
  <si>
    <t>CAMPEONATO PERNAMBUCANO 2014 (1ª Fase)</t>
  </si>
  <si>
    <t>Estatísticas</t>
  </si>
  <si>
    <t>Maior Numero de Vitorias</t>
  </si>
  <si>
    <t>Maior Numero de Empates</t>
  </si>
  <si>
    <t>Maior Numero de Derrotas</t>
  </si>
  <si>
    <t>Maior Numero de gols</t>
  </si>
  <si>
    <t>Total de gols marcados</t>
  </si>
  <si>
    <t>Total de Jogos</t>
  </si>
  <si>
    <t>Equipe acima da media</t>
  </si>
  <si>
    <t>Equipes Na media</t>
  </si>
  <si>
    <t>Equipes abaixo da media</t>
  </si>
  <si>
    <t>Santa Cruz</t>
  </si>
  <si>
    <t>Sport</t>
  </si>
  <si>
    <t>Náutico</t>
  </si>
  <si>
    <t>Arruda</t>
  </si>
  <si>
    <t>Arena Pernambuco</t>
  </si>
  <si>
    <t>Ilha Do Retiro</t>
  </si>
  <si>
    <t>Octagonal Do Titulo/Octagonal Da Permanência</t>
  </si>
  <si>
    <t xml:space="preserve">                      3/4 Lugar</t>
  </si>
  <si>
    <t xml:space="preserve">                    Final</t>
  </si>
  <si>
    <t xml:space="preserve">       Semi - Finais</t>
  </si>
  <si>
    <t>GE1</t>
  </si>
  <si>
    <t>GE2</t>
  </si>
  <si>
    <t xml:space="preserve">                   Campeões</t>
  </si>
  <si>
    <t>total de jogos</t>
  </si>
  <si>
    <t>Penaltis E1</t>
  </si>
  <si>
    <t>Penaltis E2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</si>
</sst>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4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vertical="center"/>
    </xf>
    <xf numFmtId="0" fontId="0" fillId="3" borderId="1" xfId="0" applyFill="1" applyBorder="1"/>
    <xf numFmtId="0" fontId="2" fillId="2" borderId="0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3" borderId="14" xfId="0" applyFill="1" applyBorder="1"/>
    <xf numFmtId="0" fontId="0" fillId="3" borderId="2" xfId="0" applyFill="1" applyBorder="1"/>
    <xf numFmtId="0" fontId="0" fillId="2" borderId="0" xfId="0" applyFill="1" applyBorder="1"/>
    <xf numFmtId="0" fontId="0" fillId="3" borderId="15" xfId="0" applyFill="1" applyBorder="1"/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">
    <dxf>
      <font>
        <color rgb="FF00B0F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63795</xdr:colOff>
      <xdr:row>16</xdr:row>
      <xdr:rowOff>64770</xdr:rowOff>
    </xdr:from>
    <xdr:to>
      <xdr:col>1</xdr:col>
      <xdr:colOff>148590</xdr:colOff>
      <xdr:row>16</xdr:row>
      <xdr:rowOff>147748</xdr:rowOff>
    </xdr:to>
    <xdr:sp macro="" textlink="">
      <xdr:nvSpPr>
        <xdr:cNvPr id="2" name="Seta para cima 1"/>
        <xdr:cNvSpPr/>
      </xdr:nvSpPr>
      <xdr:spPr>
        <a:xfrm>
          <a:off x="330495" y="3112770"/>
          <a:ext cx="84795" cy="82978"/>
        </a:xfrm>
        <a:prstGeom prst="up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44634</xdr:colOff>
      <xdr:row>16</xdr:row>
      <xdr:rowOff>80102</xdr:rowOff>
    </xdr:from>
    <xdr:to>
      <xdr:col>3</xdr:col>
      <xdr:colOff>166399</xdr:colOff>
      <xdr:row>16</xdr:row>
      <xdr:rowOff>126235</xdr:rowOff>
    </xdr:to>
    <xdr:sp macro="" textlink="">
      <xdr:nvSpPr>
        <xdr:cNvPr id="3" name="Seta para a direita 2"/>
        <xdr:cNvSpPr/>
      </xdr:nvSpPr>
      <xdr:spPr>
        <a:xfrm>
          <a:off x="1886517" y="3109741"/>
          <a:ext cx="121765" cy="46133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96619</xdr:colOff>
      <xdr:row>16</xdr:row>
      <xdr:rowOff>60959</xdr:rowOff>
    </xdr:from>
    <xdr:to>
      <xdr:col>6</xdr:col>
      <xdr:colOff>164934</xdr:colOff>
      <xdr:row>16</xdr:row>
      <xdr:rowOff>136672</xdr:rowOff>
    </xdr:to>
    <xdr:sp macro="" textlink="">
      <xdr:nvSpPr>
        <xdr:cNvPr id="4" name="Seta para baixo 3"/>
        <xdr:cNvSpPr/>
      </xdr:nvSpPr>
      <xdr:spPr>
        <a:xfrm>
          <a:off x="3441071" y="3143206"/>
          <a:ext cx="68315" cy="7571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49</xdr:col>
      <xdr:colOff>63795</xdr:colOff>
      <xdr:row>13</xdr:row>
      <xdr:rowOff>64770</xdr:rowOff>
    </xdr:from>
    <xdr:to>
      <xdr:col>49</xdr:col>
      <xdr:colOff>148590</xdr:colOff>
      <xdr:row>13</xdr:row>
      <xdr:rowOff>147748</xdr:rowOff>
    </xdr:to>
    <xdr:sp macro="" textlink="">
      <xdr:nvSpPr>
        <xdr:cNvPr id="5" name="Seta para cima 4"/>
        <xdr:cNvSpPr/>
      </xdr:nvSpPr>
      <xdr:spPr>
        <a:xfrm>
          <a:off x="273345" y="3112770"/>
          <a:ext cx="84795" cy="82978"/>
        </a:xfrm>
        <a:prstGeom prst="up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51</xdr:col>
      <xdr:colOff>44634</xdr:colOff>
      <xdr:row>13</xdr:row>
      <xdr:rowOff>80102</xdr:rowOff>
    </xdr:from>
    <xdr:to>
      <xdr:col>51</xdr:col>
      <xdr:colOff>166399</xdr:colOff>
      <xdr:row>13</xdr:row>
      <xdr:rowOff>126235</xdr:rowOff>
    </xdr:to>
    <xdr:sp macro="" textlink="">
      <xdr:nvSpPr>
        <xdr:cNvPr id="6" name="Seta para a direita 5"/>
        <xdr:cNvSpPr/>
      </xdr:nvSpPr>
      <xdr:spPr>
        <a:xfrm>
          <a:off x="1835334" y="3128102"/>
          <a:ext cx="121765" cy="46133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54</xdr:col>
      <xdr:colOff>96619</xdr:colOff>
      <xdr:row>13</xdr:row>
      <xdr:rowOff>60959</xdr:rowOff>
    </xdr:from>
    <xdr:to>
      <xdr:col>54</xdr:col>
      <xdr:colOff>164934</xdr:colOff>
      <xdr:row>13</xdr:row>
      <xdr:rowOff>136672</xdr:rowOff>
    </xdr:to>
    <xdr:sp macro="" textlink="">
      <xdr:nvSpPr>
        <xdr:cNvPr id="7" name="Seta para baixo 6"/>
        <xdr:cNvSpPr/>
      </xdr:nvSpPr>
      <xdr:spPr>
        <a:xfrm>
          <a:off x="3373219" y="3108959"/>
          <a:ext cx="68315" cy="7571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49</xdr:col>
      <xdr:colOff>63795</xdr:colOff>
      <xdr:row>68</xdr:row>
      <xdr:rowOff>64770</xdr:rowOff>
    </xdr:from>
    <xdr:to>
      <xdr:col>49</xdr:col>
      <xdr:colOff>148590</xdr:colOff>
      <xdr:row>68</xdr:row>
      <xdr:rowOff>147748</xdr:rowOff>
    </xdr:to>
    <xdr:sp macro="" textlink="">
      <xdr:nvSpPr>
        <xdr:cNvPr id="11" name="Seta para cima 10"/>
        <xdr:cNvSpPr/>
      </xdr:nvSpPr>
      <xdr:spPr>
        <a:xfrm>
          <a:off x="14437020" y="2541270"/>
          <a:ext cx="84795" cy="82978"/>
        </a:xfrm>
        <a:prstGeom prst="up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51</xdr:col>
      <xdr:colOff>44634</xdr:colOff>
      <xdr:row>68</xdr:row>
      <xdr:rowOff>80102</xdr:rowOff>
    </xdr:from>
    <xdr:to>
      <xdr:col>51</xdr:col>
      <xdr:colOff>166399</xdr:colOff>
      <xdr:row>68</xdr:row>
      <xdr:rowOff>126235</xdr:rowOff>
    </xdr:to>
    <xdr:sp macro="" textlink="">
      <xdr:nvSpPr>
        <xdr:cNvPr id="12" name="Seta para a direita 11"/>
        <xdr:cNvSpPr/>
      </xdr:nvSpPr>
      <xdr:spPr>
        <a:xfrm>
          <a:off x="16113309" y="2556602"/>
          <a:ext cx="121765" cy="46133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54</xdr:col>
      <xdr:colOff>96619</xdr:colOff>
      <xdr:row>68</xdr:row>
      <xdr:rowOff>60959</xdr:rowOff>
    </xdr:from>
    <xdr:to>
      <xdr:col>54</xdr:col>
      <xdr:colOff>164934</xdr:colOff>
      <xdr:row>68</xdr:row>
      <xdr:rowOff>136672</xdr:rowOff>
    </xdr:to>
    <xdr:sp macro="" textlink="">
      <xdr:nvSpPr>
        <xdr:cNvPr id="13" name="Seta para baixo 12"/>
        <xdr:cNvSpPr/>
      </xdr:nvSpPr>
      <xdr:spPr>
        <a:xfrm>
          <a:off x="17994094" y="2537459"/>
          <a:ext cx="68315" cy="7571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EL119"/>
  <sheetViews>
    <sheetView showGridLines="0" tabSelected="1" topLeftCell="CT1" zoomScaleNormal="100" workbookViewId="0">
      <selection activeCell="CZ13" sqref="CZ13"/>
    </sheetView>
  </sheetViews>
  <sheetFormatPr defaultRowHeight="15"/>
  <cols>
    <col min="1" max="1" width="3.140625" style="1" customWidth="1"/>
    <col min="2" max="2" width="16.28515625" style="1" customWidth="1"/>
    <col min="3" max="11" width="7.42578125" style="1" customWidth="1"/>
    <col min="12" max="12" width="9.140625" style="1"/>
    <col min="13" max="13" width="9.140625" style="7"/>
    <col min="14" max="14" width="16.28515625" style="1" customWidth="1"/>
    <col min="15" max="15" width="5" style="36" customWidth="1"/>
    <col min="16" max="16" width="3.85546875" style="1" customWidth="1"/>
    <col min="17" max="17" width="5" style="36" customWidth="1"/>
    <col min="18" max="18" width="16.28515625" style="1" customWidth="1"/>
    <col min="19" max="19" width="8.7109375" style="7" hidden="1" customWidth="1"/>
    <col min="20" max="40" width="8.7109375" style="1" hidden="1" customWidth="1"/>
    <col min="41" max="41" width="4.5703125" style="1" customWidth="1"/>
    <col min="42" max="45" width="9.140625" style="1"/>
    <col min="46" max="46" width="9.140625" style="1" customWidth="1"/>
    <col min="47" max="47" width="3.42578125" style="61" customWidth="1"/>
    <col min="48" max="48" width="2.7109375" style="1" customWidth="1"/>
    <col min="49" max="49" width="3.140625" style="1" customWidth="1"/>
    <col min="50" max="50" width="16.28515625" style="1" customWidth="1"/>
    <col min="51" max="60" width="9.140625" style="1"/>
    <col min="61" max="61" width="9.140625" style="7"/>
    <col min="62" max="62" width="16.28515625" style="1" customWidth="1"/>
    <col min="63" max="63" width="5" style="1" customWidth="1"/>
    <col min="64" max="64" width="3.85546875" style="1" customWidth="1"/>
    <col min="65" max="65" width="5" style="1" customWidth="1"/>
    <col min="66" max="66" width="16.28515625" style="1" customWidth="1"/>
    <col min="67" max="67" width="6.85546875" style="1" hidden="1" customWidth="1"/>
    <col min="68" max="68" width="7" style="1" hidden="1" customWidth="1"/>
    <col min="69" max="69" width="4" style="1" hidden="1" customWidth="1"/>
    <col min="70" max="70" width="5.85546875" style="1" hidden="1" customWidth="1"/>
    <col min="71" max="71" width="7.5703125" style="1" hidden="1" customWidth="1"/>
    <col min="72" max="72" width="7.140625" style="1" hidden="1" customWidth="1"/>
    <col min="73" max="73" width="5.7109375" style="1" hidden="1" customWidth="1"/>
    <col min="74" max="74" width="5.5703125" style="1" hidden="1" customWidth="1"/>
    <col min="75" max="75" width="6.140625" style="1" hidden="1" customWidth="1"/>
    <col min="76" max="76" width="17.140625" style="1" hidden="1" customWidth="1"/>
    <col min="77" max="77" width="6.42578125" style="1" hidden="1" customWidth="1"/>
    <col min="78" max="78" width="6" style="1" hidden="1" customWidth="1"/>
    <col min="79" max="79" width="5.28515625" style="1" hidden="1" customWidth="1"/>
    <col min="80" max="80" width="5.5703125" style="1" hidden="1" customWidth="1"/>
    <col min="81" max="81" width="6.5703125" style="1" hidden="1" customWidth="1"/>
    <col min="82" max="82" width="6" style="1" hidden="1" customWidth="1"/>
    <col min="83" max="83" width="5.140625" style="1" hidden="1" customWidth="1"/>
    <col min="84" max="84" width="8.140625" style="1" hidden="1" customWidth="1"/>
    <col min="85" max="85" width="7.5703125" style="1" hidden="1" customWidth="1"/>
    <col min="86" max="86" width="8.28515625" style="1" hidden="1" customWidth="1"/>
    <col min="87" max="87" width="9.140625" style="1" hidden="1" customWidth="1"/>
    <col min="88" max="88" width="7.28515625" style="1" hidden="1" customWidth="1"/>
    <col min="89" max="89" width="4.5703125" style="7" customWidth="1"/>
    <col min="90" max="94" width="9.140625" style="1"/>
    <col min="95" max="95" width="3.42578125" style="61" customWidth="1"/>
    <col min="96" max="101" width="9.140625" style="2"/>
    <col min="102" max="102" width="7.42578125" style="2" customWidth="1"/>
    <col min="103" max="103" width="3.85546875" style="2" customWidth="1"/>
    <col min="104" max="104" width="7.42578125" style="2" customWidth="1"/>
    <col min="105" max="116" width="9.140625" style="2"/>
    <col min="117" max="117" width="7.42578125" style="2" customWidth="1"/>
    <col min="118" max="118" width="3.85546875" style="2" customWidth="1"/>
    <col min="119" max="119" width="7.42578125" style="2" customWidth="1"/>
    <col min="120" max="124" width="9.140625" style="2"/>
    <col min="125" max="128" width="9.140625" style="1"/>
    <col min="129" max="129" width="9.140625" style="1" customWidth="1"/>
    <col min="130" max="130" width="0.140625" style="1" customWidth="1"/>
    <col min="131" max="131" width="9.5703125" style="1" hidden="1" customWidth="1"/>
    <col min="132" max="133" width="9.28515625" style="1" hidden="1" customWidth="1"/>
    <col min="134" max="134" width="9.7109375" style="1" hidden="1" customWidth="1"/>
    <col min="135" max="16384" width="9.140625" style="1"/>
  </cols>
  <sheetData>
    <row r="1" spans="1:142" ht="15" customHeight="1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V1" s="81" t="s">
        <v>76</v>
      </c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3"/>
      <c r="CR1" s="72" t="s">
        <v>79</v>
      </c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</row>
    <row r="2" spans="1:142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V2" s="84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6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</row>
    <row r="3" spans="1:142" ht="1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V3" s="84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6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</row>
    <row r="4" spans="1:142" ht="1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V4" s="87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9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</row>
    <row r="5" spans="1:142">
      <c r="AJ5" s="1">
        <v>0</v>
      </c>
    </row>
    <row r="6" spans="1:14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1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N6" s="5" t="s">
        <v>10</v>
      </c>
      <c r="O6" s="35" t="s">
        <v>13</v>
      </c>
      <c r="P6" s="5" t="s">
        <v>11</v>
      </c>
      <c r="Q6" s="35" t="s">
        <v>13</v>
      </c>
      <c r="R6" s="5" t="s">
        <v>12</v>
      </c>
      <c r="AW6" s="5" t="s">
        <v>0</v>
      </c>
      <c r="AX6" s="5" t="s">
        <v>1</v>
      </c>
      <c r="AY6" s="5" t="s">
        <v>2</v>
      </c>
      <c r="AZ6" s="5" t="s">
        <v>3</v>
      </c>
      <c r="BA6" s="5" t="s">
        <v>4</v>
      </c>
      <c r="BB6" s="5" t="s">
        <v>1</v>
      </c>
      <c r="BC6" s="5" t="s">
        <v>5</v>
      </c>
      <c r="BD6" s="5" t="s">
        <v>6</v>
      </c>
      <c r="BE6" s="5" t="s">
        <v>7</v>
      </c>
      <c r="BF6" s="5" t="s">
        <v>8</v>
      </c>
      <c r="BG6" s="5" t="s">
        <v>9</v>
      </c>
      <c r="BJ6" s="5" t="s">
        <v>10</v>
      </c>
      <c r="BK6" s="5" t="s">
        <v>13</v>
      </c>
      <c r="BL6" s="5" t="s">
        <v>11</v>
      </c>
      <c r="BM6" s="5" t="s">
        <v>13</v>
      </c>
      <c r="BN6" s="5" t="s">
        <v>12</v>
      </c>
      <c r="BO6" s="7"/>
      <c r="CS6" s="42" t="s">
        <v>49</v>
      </c>
      <c r="CT6" s="42"/>
      <c r="CU6" s="42"/>
      <c r="CV6" s="42" t="s">
        <v>10</v>
      </c>
      <c r="CW6" s="42"/>
      <c r="CX6" s="20" t="s">
        <v>80</v>
      </c>
      <c r="CY6" s="20" t="s">
        <v>22</v>
      </c>
      <c r="CZ6" s="20" t="s">
        <v>81</v>
      </c>
      <c r="DA6" s="42" t="s">
        <v>12</v>
      </c>
      <c r="DB6" s="42"/>
      <c r="DC6" s="42" t="s">
        <v>50</v>
      </c>
      <c r="DD6" s="42"/>
      <c r="DE6" s="42"/>
      <c r="DH6" s="42" t="s">
        <v>49</v>
      </c>
      <c r="DI6" s="42"/>
      <c r="DJ6" s="42"/>
      <c r="DK6" s="42" t="s">
        <v>12</v>
      </c>
      <c r="DL6" s="42"/>
      <c r="DM6" s="20" t="s">
        <v>80</v>
      </c>
      <c r="DN6" s="20" t="s">
        <v>22</v>
      </c>
      <c r="DO6" s="20" t="s">
        <v>81</v>
      </c>
      <c r="DP6" s="42" t="s">
        <v>10</v>
      </c>
      <c r="DQ6" s="42"/>
      <c r="DR6" s="42" t="s">
        <v>50</v>
      </c>
      <c r="DS6" s="42"/>
      <c r="DT6" s="42"/>
      <c r="DV6" s="42" t="s">
        <v>84</v>
      </c>
      <c r="DW6" s="42"/>
      <c r="DX6" s="42" t="s">
        <v>85</v>
      </c>
      <c r="DY6" s="42"/>
    </row>
    <row r="7" spans="1:142">
      <c r="A7" s="4">
        <v>1</v>
      </c>
      <c r="B7" s="15" t="str">
        <f>VLOOKUP(AN9,AA$9:AK$17,2)</f>
        <v>Salgueiro</v>
      </c>
      <c r="C7" s="3">
        <f>VLOOKUP(AN9,AA$9:AK$17,3)</f>
        <v>36</v>
      </c>
      <c r="D7" s="3">
        <f>VLOOKUP(AN9,AA$9:AK$17,4)</f>
        <v>16</v>
      </c>
      <c r="E7" s="3">
        <f>VLOOKUP(AN9,AA$9:AK$17,5)</f>
        <v>11</v>
      </c>
      <c r="F7" s="3">
        <f>VLOOKUP(AN9,AA$9:AK$17,6)</f>
        <v>3</v>
      </c>
      <c r="G7" s="3">
        <f>VLOOKUP(AN9,AA$9:AK$17,7)</f>
        <v>2</v>
      </c>
      <c r="H7" s="3">
        <f>VLOOKUP(AN9,AA$9:AK$17,8)</f>
        <v>23</v>
      </c>
      <c r="I7" s="3">
        <f>VLOOKUP(AN9,AA$9:AK$17,9)</f>
        <v>7</v>
      </c>
      <c r="J7" s="3">
        <f>VLOOKUP(AN9,AA$9:AK$17,10)</f>
        <v>16</v>
      </c>
      <c r="K7" s="9">
        <f>VLOOKUP(AN9,AA$9:AK$17,11)</f>
        <v>0.75</v>
      </c>
      <c r="AW7" s="4">
        <v>1</v>
      </c>
      <c r="AX7" s="17" t="str">
        <f>VLOOKUP(CJ9,BW$9:CJ$14,2)</f>
        <v>Náutico</v>
      </c>
      <c r="AY7" s="11">
        <f>VLOOKUP(CJ9,BW$9:CJ$14,3)</f>
        <v>20</v>
      </c>
      <c r="AZ7" s="11">
        <f>VLOOKUP(CJ9,BW$9:CJ$14,4)</f>
        <v>10</v>
      </c>
      <c r="BA7" s="11">
        <f>VLOOKUP(CJ9,BW$9:CJ$14,5)</f>
        <v>6</v>
      </c>
      <c r="BB7" s="11">
        <f>VLOOKUP(CJ9,BW$9:CJ$14,6)</f>
        <v>2</v>
      </c>
      <c r="BC7" s="11">
        <f>VLOOKUP(CJ9,BW$9:CJ$14,7)</f>
        <v>2</v>
      </c>
      <c r="BD7" s="11">
        <f>VLOOKUP(CJ9,BW$9:CJ$14,8)</f>
        <v>19</v>
      </c>
      <c r="BE7" s="11">
        <f>VLOOKUP(CJ9,BW$9:CJ$14,9)</f>
        <v>12</v>
      </c>
      <c r="BF7" s="11">
        <f>VLOOKUP(CJ9,BW$9:CJ$14,10)</f>
        <v>7</v>
      </c>
      <c r="BG7" s="12">
        <f>VLOOKUP(CJ9,BW$9:CJ$14,11)</f>
        <v>0.66666666666666663</v>
      </c>
      <c r="BO7" s="7"/>
    </row>
    <row r="8" spans="1:142">
      <c r="A8" s="3">
        <v>2</v>
      </c>
      <c r="B8" s="15" t="str">
        <f>VLOOKUP(AN10,AA$9:AK$17,2)</f>
        <v>Central</v>
      </c>
      <c r="C8" s="3">
        <f>VLOOKUP(AN10,AA$9:AK$17,3)</f>
        <v>34</v>
      </c>
      <c r="D8" s="3">
        <f t="shared" ref="D8:D15" si="0">VLOOKUP(AN10,AA$9:AK$17,4)</f>
        <v>16</v>
      </c>
      <c r="E8" s="3">
        <f t="shared" ref="E8:E15" si="1">VLOOKUP(AN10,AA$9:AK$17,5)</f>
        <v>10</v>
      </c>
      <c r="F8" s="3">
        <f t="shared" ref="F8:F15" si="2">VLOOKUP(AN10,AA$9:AK$17,6)</f>
        <v>4</v>
      </c>
      <c r="G8" s="3">
        <f t="shared" ref="G8:G15" si="3">VLOOKUP(AN10,AA$9:AK$17,7)</f>
        <v>2</v>
      </c>
      <c r="H8" s="3">
        <f t="shared" ref="H8:H15" si="4">VLOOKUP(AN10,AA$9:AK$17,8)</f>
        <v>29</v>
      </c>
      <c r="I8" s="3">
        <f t="shared" ref="I8:I15" si="5">VLOOKUP(AN10,AA$9:AK$17,9)</f>
        <v>14</v>
      </c>
      <c r="J8" s="3">
        <f t="shared" ref="J8:J15" si="6">VLOOKUP(AN10,AA$9:AK$17,10)</f>
        <v>15</v>
      </c>
      <c r="K8" s="9">
        <f t="shared" ref="K8:K15" si="7">VLOOKUP(AN10,AA$9:AK$17,11)</f>
        <v>0.70833333333333337</v>
      </c>
      <c r="N8" s="80" t="s">
        <v>17</v>
      </c>
      <c r="O8" s="57"/>
      <c r="P8" s="57"/>
      <c r="Q8" s="57"/>
      <c r="R8" s="58"/>
      <c r="T8" s="3" t="s">
        <v>41</v>
      </c>
      <c r="U8" s="3" t="s">
        <v>42</v>
      </c>
      <c r="V8" s="3" t="s">
        <v>10</v>
      </c>
      <c r="W8" s="3" t="s">
        <v>12</v>
      </c>
      <c r="X8" s="3" t="s">
        <v>43</v>
      </c>
      <c r="Y8" s="3" t="s">
        <v>44</v>
      </c>
      <c r="AA8" s="5" t="s">
        <v>0</v>
      </c>
      <c r="AB8" s="5" t="s">
        <v>1</v>
      </c>
      <c r="AC8" s="5" t="s">
        <v>2</v>
      </c>
      <c r="AD8" s="5" t="s">
        <v>3</v>
      </c>
      <c r="AE8" s="5" t="s">
        <v>4</v>
      </c>
      <c r="AF8" s="5" t="s">
        <v>1</v>
      </c>
      <c r="AG8" s="5" t="s">
        <v>5</v>
      </c>
      <c r="AH8" s="5" t="s">
        <v>6</v>
      </c>
      <c r="AI8" s="5" t="s">
        <v>7</v>
      </c>
      <c r="AJ8" s="5" t="s">
        <v>8</v>
      </c>
      <c r="AK8" s="5" t="s">
        <v>9</v>
      </c>
      <c r="AL8" s="5" t="s">
        <v>45</v>
      </c>
      <c r="AM8" s="5" t="s">
        <v>46</v>
      </c>
      <c r="AN8" s="5" t="s">
        <v>47</v>
      </c>
      <c r="AP8" s="42" t="s">
        <v>49</v>
      </c>
      <c r="AQ8" s="42"/>
      <c r="AR8" s="42" t="s">
        <v>50</v>
      </c>
      <c r="AS8" s="42"/>
      <c r="AW8" s="11">
        <v>2</v>
      </c>
      <c r="AX8" s="17" t="str">
        <f t="shared" ref="AX8:AX12" si="8">VLOOKUP(CJ10,BW$9:CJ$14,2)</f>
        <v>Sport</v>
      </c>
      <c r="AY8" s="11">
        <f t="shared" ref="AY8:AY12" si="9">VLOOKUP(CJ10,BW$9:CJ$14,3)</f>
        <v>17</v>
      </c>
      <c r="AZ8" s="11">
        <f t="shared" ref="AZ8:AZ12" si="10">VLOOKUP(CJ10,BW$9:CJ$14,4)</f>
        <v>10</v>
      </c>
      <c r="BA8" s="11">
        <f t="shared" ref="BA8:BA12" si="11">VLOOKUP(CJ10,BW$9:CJ$14,5)</f>
        <v>5</v>
      </c>
      <c r="BB8" s="11">
        <f t="shared" ref="BB8:BB12" si="12">VLOOKUP(CJ10,BW$9:CJ$14,6)</f>
        <v>2</v>
      </c>
      <c r="BC8" s="11">
        <f t="shared" ref="BC8:BC12" si="13">VLOOKUP(CJ10,BW$9:CJ$14,7)</f>
        <v>3</v>
      </c>
      <c r="BD8" s="11">
        <f t="shared" ref="BD8:BD12" si="14">VLOOKUP(CJ10,BW$9:CJ$14,8)</f>
        <v>16</v>
      </c>
      <c r="BE8" s="11">
        <f t="shared" ref="BE8:BE12" si="15">VLOOKUP(CJ10,BW$9:CJ$14,9)</f>
        <v>7</v>
      </c>
      <c r="BF8" s="11">
        <f t="shared" ref="BF8:BF12" si="16">VLOOKUP(CJ10,BW$9:CJ$14,10)</f>
        <v>9</v>
      </c>
      <c r="BG8" s="12">
        <f t="shared" ref="BG8:BG12" si="17">VLOOKUP(CJ10,BW$9:CJ$14,11)</f>
        <v>0.56666666666666665</v>
      </c>
      <c r="BJ8" s="80" t="s">
        <v>17</v>
      </c>
      <c r="BK8" s="57"/>
      <c r="BL8" s="57"/>
      <c r="BM8" s="57"/>
      <c r="BN8" s="58"/>
      <c r="BO8" s="7"/>
      <c r="BP8" s="11" t="s">
        <v>41</v>
      </c>
      <c r="BQ8" s="11" t="s">
        <v>42</v>
      </c>
      <c r="BR8" s="11" t="s">
        <v>10</v>
      </c>
      <c r="BS8" s="11" t="s">
        <v>12</v>
      </c>
      <c r="BT8" s="11" t="s">
        <v>43</v>
      </c>
      <c r="BU8" s="11" t="s">
        <v>44</v>
      </c>
      <c r="BW8" s="5" t="s">
        <v>0</v>
      </c>
      <c r="BX8" s="5" t="s">
        <v>1</v>
      </c>
      <c r="BY8" s="5" t="s">
        <v>2</v>
      </c>
      <c r="BZ8" s="5" t="s">
        <v>3</v>
      </c>
      <c r="CA8" s="5" t="s">
        <v>4</v>
      </c>
      <c r="CB8" s="5" t="s">
        <v>1</v>
      </c>
      <c r="CC8" s="5" t="s">
        <v>5</v>
      </c>
      <c r="CD8" s="5" t="s">
        <v>6</v>
      </c>
      <c r="CE8" s="5" t="s">
        <v>7</v>
      </c>
      <c r="CF8" s="5" t="s">
        <v>8</v>
      </c>
      <c r="CG8" s="5" t="s">
        <v>9</v>
      </c>
      <c r="CH8" s="5" t="s">
        <v>45</v>
      </c>
      <c r="CI8" s="5" t="s">
        <v>46</v>
      </c>
      <c r="CJ8" s="5" t="s">
        <v>47</v>
      </c>
      <c r="CL8" s="42" t="s">
        <v>49</v>
      </c>
      <c r="CM8" s="42"/>
      <c r="CN8" s="42" t="s">
        <v>50</v>
      </c>
      <c r="CO8" s="42"/>
      <c r="CS8" s="62">
        <v>41735</v>
      </c>
      <c r="CT8" s="43"/>
      <c r="CU8" s="43"/>
      <c r="CV8" s="43" t="str">
        <f>IF(SUM(AZ7:AZ12)=60,AX10,"4º Colocado")</f>
        <v>Salgueiro</v>
      </c>
      <c r="CW8" s="43"/>
      <c r="CX8" s="34">
        <v>2</v>
      </c>
      <c r="CY8" s="18" t="s">
        <v>22</v>
      </c>
      <c r="CZ8" s="34">
        <v>0</v>
      </c>
      <c r="DA8" s="43" t="str">
        <f>IF(SUM(AZ7:AZ12)=60,AX7,"1º Colocado")</f>
        <v>Náutico</v>
      </c>
      <c r="DB8" s="43"/>
      <c r="DC8" s="43" t="str">
        <f>IF(CV8="Cental","Lacerdão",IF(CV8="Porto","Lacerdão",IF(CV8="Salgueiro","Cornélio de Barros",IF(CV8="Vitória-PE","Carneirão",IF(CV8="Serra Talhada","Nildo Pereira",IF(CV8="Ypiranga","Otávio Limeira",IF(CV8="América-PE","Ademir Cunha",IF(CV8="Chã Grande","Carneirão",IF(CV8="Pesqueira","Otávio Limeira",IF(CV8="Náutico","Arena Pernambuco",IF(CV8="Santa Cruz","Arruda",IF(CV8="Sport","Ilha Do Retiro","Estadio Indefinido"))))))))))))</f>
        <v>Cornélio de Barros</v>
      </c>
      <c r="DD8" s="43"/>
      <c r="DE8" s="43"/>
      <c r="DF8" s="2" t="str">
        <f>IF(OR(CX9="",CZ9="",DM9="",DO9="",DO8&gt;="0"),CV16,"")</f>
        <v/>
      </c>
      <c r="DG8" s="8" t="str">
        <f>IF(DV8&gt;DX8,CV8,IF(DX8&gt;DV8,DA8,IF(DV8=DX8,"Erro nas penalidades","1º Finalista")))</f>
        <v>Náutico</v>
      </c>
      <c r="DH8" s="62">
        <v>41741</v>
      </c>
      <c r="DI8" s="43"/>
      <c r="DJ8" s="43"/>
      <c r="DK8" s="43" t="str">
        <f>DA8</f>
        <v>Náutico</v>
      </c>
      <c r="DL8" s="43"/>
      <c r="DM8" s="34">
        <v>1</v>
      </c>
      <c r="DN8" s="26" t="s">
        <v>22</v>
      </c>
      <c r="DO8" s="34">
        <v>0</v>
      </c>
      <c r="DP8" s="43" t="str">
        <f>CV8</f>
        <v>Salgueiro</v>
      </c>
      <c r="DQ8" s="43"/>
      <c r="DR8" s="43" t="str">
        <f>IF(DK8="Cental","Lacerdão",IF(DK8="Porto","Lacerdão",IF(DK8="Salgueiro","Cornélio de Barros",IF(DK8="Vitória-PE","Carneirão",IF(DK8="Serra Talhada","Nildo Pereira",IF(DK8="Ypiranga","Otávio Limeira",IF(DK8="América-PE","Ademir Cunha",IF(DK8="Chã Grande","Carneirão",IF(DK8="Pesqueira","Otávio Limeira",IF(DK8="Náutico","Arena Pernambuco",IF(DK8="Santa Cruz","Arruda",IF(DK8="Sport","Ilha Do Retiro","Estadio Indefinido"))))))))))))</f>
        <v>Arena Pernambuco</v>
      </c>
      <c r="DS8" s="43"/>
      <c r="DT8" s="43"/>
      <c r="DV8" s="53">
        <v>3</v>
      </c>
      <c r="DW8" s="53"/>
      <c r="DX8" s="53">
        <v>5</v>
      </c>
      <c r="DY8" s="53"/>
      <c r="EA8" s="24">
        <f>IF(CX8="","",IF(CX8&gt;CZ8,3,IF(CZ8&gt;CX8,0,IF(CX8=CZ8,1))))</f>
        <v>3</v>
      </c>
      <c r="EB8" s="24">
        <f>IF(CX8="","",IF(CX8&lt;CZ8,3,IF(CZ8&lt;CX8,0,IF(CX8=CZ8,1))))</f>
        <v>0</v>
      </c>
      <c r="EC8" s="24">
        <f>IF(DO8="","",IF(DO8&gt;DM8,3,IF(DM8&gt;DO8,0,IF(DO8=DM8,1))))</f>
        <v>0</v>
      </c>
      <c r="ED8" s="24">
        <f>IF(DO8="","",IF(DO8&lt;DM8,3,IF(DM8&lt;DO8,0,IF(DO8=DM8,1))))</f>
        <v>3</v>
      </c>
    </row>
    <row r="9" spans="1:142">
      <c r="A9" s="3">
        <v>3</v>
      </c>
      <c r="B9" s="15" t="str">
        <f t="shared" ref="B9:B15" si="18">VLOOKUP(AN11,AA$9:AK$17,2)</f>
        <v>Porto</v>
      </c>
      <c r="C9" s="3">
        <f t="shared" ref="C9:C15" si="19">VLOOKUP(AN11,AA$9:AK$17,3)</f>
        <v>24</v>
      </c>
      <c r="D9" s="3">
        <f t="shared" si="0"/>
        <v>16</v>
      </c>
      <c r="E9" s="3">
        <f t="shared" si="1"/>
        <v>7</v>
      </c>
      <c r="F9" s="3">
        <f t="shared" si="2"/>
        <v>3</v>
      </c>
      <c r="G9" s="3">
        <f t="shared" si="3"/>
        <v>6</v>
      </c>
      <c r="H9" s="3">
        <f t="shared" si="4"/>
        <v>16</v>
      </c>
      <c r="I9" s="3">
        <f>VLOOKUP(AN11,AA$9:AK$17,9)</f>
        <v>12</v>
      </c>
      <c r="J9" s="3">
        <f t="shared" si="6"/>
        <v>4</v>
      </c>
      <c r="K9" s="9">
        <f t="shared" si="7"/>
        <v>0.5</v>
      </c>
      <c r="M9" s="7">
        <f>IF(OR(O9="",Q9=""),"",IF(O9=Q9,1,IF(O9&gt;Q9,3,0)))</f>
        <v>1</v>
      </c>
      <c r="N9" s="3" t="s">
        <v>48</v>
      </c>
      <c r="O9" s="37">
        <v>1</v>
      </c>
      <c r="P9" s="3" t="s">
        <v>22</v>
      </c>
      <c r="Q9" s="37">
        <v>1</v>
      </c>
      <c r="R9" s="3" t="s">
        <v>14</v>
      </c>
      <c r="S9" s="8">
        <f>IF(OR(O9="",Q9=""),"",IF(O9=Q9,1,IF(Q9&gt;O9,3,0)))</f>
        <v>1</v>
      </c>
      <c r="T9" s="2">
        <f>IF(M9=3,1,0)</f>
        <v>0</v>
      </c>
      <c r="U9" s="2">
        <f>IF(S9=3,1,0)</f>
        <v>0</v>
      </c>
      <c r="V9" s="2">
        <f>IF(M9=1,1,0)</f>
        <v>1</v>
      </c>
      <c r="W9" s="2">
        <f>IF(S9=1,1,0)</f>
        <v>1</v>
      </c>
      <c r="X9" s="2">
        <f>IF(M9=0,1,0)</f>
        <v>0</v>
      </c>
      <c r="Y9" s="2">
        <f>IF(S9=0,1,0)</f>
        <v>0</v>
      </c>
      <c r="AA9" s="4">
        <v>1</v>
      </c>
      <c r="AB9" s="26" t="s">
        <v>15</v>
      </c>
      <c r="AC9" s="3">
        <f>SUM(M10,S18,M23,S36,M40,S45,M51,S60,S64,M72,S76,M89,S93,M101,S107,M112)</f>
        <v>36</v>
      </c>
      <c r="AD9" s="3">
        <f>SUM(AE9,AF9,AG9)</f>
        <v>16</v>
      </c>
      <c r="AE9" s="3">
        <f t="shared" ref="AE9:AE17" si="20">SUMIF(N$9:N$114,AB9,T$9:T$114)+(SUMIF(R$9:R$114,AB9,U$9:U$114))</f>
        <v>11</v>
      </c>
      <c r="AF9" s="3">
        <f>SUMIF(N$9:N$114,AB9,V$9:V$114)+(SUMIF(R$9:R$114,AB9,W$9:W$114))</f>
        <v>3</v>
      </c>
      <c r="AG9" s="3">
        <f>SUMIF(N$9:N$114,AB9,X$9:X$114)+(SUMIF(R$9:R$114,AB9,Y$9:Y$114))</f>
        <v>2</v>
      </c>
      <c r="AH9" s="3">
        <f>SUM(O10,Q18,O23,Q36,O40,Q45,O51,Q60,Q64,O72,Q76,O89,Q93,O101,Q107,O112)</f>
        <v>23</v>
      </c>
      <c r="AI9" s="3">
        <f>SUM(Q10,O18,Q23,O36,Q40,O45,Q51,O60,O64,Q72,O76,Q89,O93,Q101,O107,Q112)</f>
        <v>7</v>
      </c>
      <c r="AJ9" s="3">
        <f>AH9-AI9</f>
        <v>16</v>
      </c>
      <c r="AK9" s="3">
        <f>IF(AD9=0,"0%",(AC9/(3*AD9)))</f>
        <v>0.75</v>
      </c>
      <c r="AL9" s="6">
        <f>(AC9*10^10)+(AJ9+50)*(10^6)+(AH9*10)+AA9</f>
        <v>360066000231</v>
      </c>
      <c r="AM9" s="6">
        <f>LARGE(AL$9:AL$17,AA9)</f>
        <v>360066000231</v>
      </c>
      <c r="AN9" s="3">
        <f>MATCH(AM9,AL$9:AL$17,0)</f>
        <v>1</v>
      </c>
      <c r="AP9" s="62">
        <v>41616</v>
      </c>
      <c r="AQ9" s="43"/>
      <c r="AR9" s="43" t="s">
        <v>51</v>
      </c>
      <c r="AS9" s="43"/>
      <c r="AW9" s="11">
        <v>3</v>
      </c>
      <c r="AX9" s="17" t="str">
        <f t="shared" si="8"/>
        <v>Santa Cruz</v>
      </c>
      <c r="AY9" s="11">
        <f t="shared" si="9"/>
        <v>16</v>
      </c>
      <c r="AZ9" s="11">
        <f t="shared" si="10"/>
        <v>10</v>
      </c>
      <c r="BA9" s="11">
        <f t="shared" si="11"/>
        <v>4</v>
      </c>
      <c r="BB9" s="11">
        <f t="shared" si="12"/>
        <v>4</v>
      </c>
      <c r="BC9" s="11">
        <f t="shared" si="13"/>
        <v>2</v>
      </c>
      <c r="BD9" s="11">
        <f t="shared" si="14"/>
        <v>23</v>
      </c>
      <c r="BE9" s="11">
        <f t="shared" si="15"/>
        <v>12</v>
      </c>
      <c r="BF9" s="11">
        <f t="shared" si="16"/>
        <v>11</v>
      </c>
      <c r="BG9" s="12">
        <f t="shared" si="17"/>
        <v>0.53333333333333333</v>
      </c>
      <c r="BI9" s="7">
        <f>IF(OR(BK9="",BM9=""),"",IF(BK9=BM9,1,IF(BK9&gt;BM9,3,0)))</f>
        <v>3</v>
      </c>
      <c r="BJ9" s="11" t="s">
        <v>70</v>
      </c>
      <c r="BK9" s="34">
        <v>4</v>
      </c>
      <c r="BL9" s="11" t="s">
        <v>22</v>
      </c>
      <c r="BM9" s="34">
        <v>2</v>
      </c>
      <c r="BN9" s="11" t="str">
        <f>BX13</f>
        <v>Central</v>
      </c>
      <c r="BO9" s="8">
        <f>IF(OR(BK9="",BM9=""),"",IF(BK9=BM9,1,IF(BM9&gt;BK9,3,0)))</f>
        <v>0</v>
      </c>
      <c r="BP9" s="2">
        <f>IF(BI9=3,1,0)</f>
        <v>1</v>
      </c>
      <c r="BQ9" s="2">
        <f>IF(BO9=3,1,0)</f>
        <v>0</v>
      </c>
      <c r="BR9" s="2">
        <f>IF(BI9=1,1,0)</f>
        <v>0</v>
      </c>
      <c r="BS9" s="2">
        <f>IF(BO9=1,1,0)</f>
        <v>0</v>
      </c>
      <c r="BT9" s="2">
        <f>IF(BI9=0,1,0)</f>
        <v>0</v>
      </c>
      <c r="BU9" s="2">
        <f>IF(BO9=0,1,0)</f>
        <v>1</v>
      </c>
      <c r="BW9" s="4">
        <v>1</v>
      </c>
      <c r="BX9" s="11" t="s">
        <v>71</v>
      </c>
      <c r="BY9" s="11">
        <f>SUM(BO11,BI14,BO21,BI24,BI31,BO36,BO40,BI44,BO51,BI56)</f>
        <v>17</v>
      </c>
      <c r="BZ9" s="11">
        <f t="shared" ref="BZ9:BZ14" si="21">SUM(CA9,CB9,CC9)</f>
        <v>10</v>
      </c>
      <c r="CA9" s="11">
        <f t="shared" ref="CA9:CA14" si="22">SUMIF(BJ$9:BJ$104,BX9,BP$9:BP$104)+(SUMIF(BN$9:BN$104,BX9,BQ$9:BQ$104))</f>
        <v>5</v>
      </c>
      <c r="CB9" s="11">
        <f t="shared" ref="CB9:CB14" si="23">SUMIF(BJ$9:BJ$104,BX9,BR$9:BR$104)+(SUMIF(BN$9:BN$104,BX9,BS$9:BS$104))</f>
        <v>2</v>
      </c>
      <c r="CC9" s="11">
        <f t="shared" ref="CC9:CC14" si="24">SUMIF(BJ$9:BJ$104,BX9,BT$9:BT$104)+(SUMIF(BN$9:BN$104,BX9,BU$9:BU$104))</f>
        <v>3</v>
      </c>
      <c r="CD9" s="11">
        <f>SUM(BM11,BK14,BM21,BK24,BK31,BM36,BM40,BK44,BM51,BK56)</f>
        <v>16</v>
      </c>
      <c r="CE9" s="11">
        <f>SUM(BK11,BM14,BK21,BM24,BM31,BK36,BK40,BM44,BK51,BM56)</f>
        <v>7</v>
      </c>
      <c r="CF9" s="11">
        <f t="shared" ref="CF9:CF14" si="25">CD9-CE9</f>
        <v>9</v>
      </c>
      <c r="CG9" s="11">
        <f>IF(BZ9=0,"0%",(BY9/(3*BZ9)))</f>
        <v>0.56666666666666665</v>
      </c>
      <c r="CH9" s="6">
        <f>(BY9*10^10)+(CF9+50)*(10^6)+(CD9*10)+BW9</f>
        <v>170059000161</v>
      </c>
      <c r="CI9" s="6">
        <f t="shared" ref="CI9:CI14" si="26">LARGE(CH$9:CH$14,BW9)</f>
        <v>200057000192</v>
      </c>
      <c r="CJ9" s="11">
        <f>MATCH(CI9,CH$9:CH$14,0)</f>
        <v>2</v>
      </c>
      <c r="CL9" s="62">
        <v>41679</v>
      </c>
      <c r="CM9" s="43"/>
      <c r="CN9" s="44" t="s">
        <v>73</v>
      </c>
      <c r="CO9" s="45"/>
      <c r="CS9" s="62">
        <v>41735</v>
      </c>
      <c r="CT9" s="43"/>
      <c r="CU9" s="43"/>
      <c r="CV9" s="43" t="str">
        <f>IF(SUM(AZ7:AZ12)=60,AX9,"3º Colocado")</f>
        <v>Santa Cruz</v>
      </c>
      <c r="CW9" s="43"/>
      <c r="CX9" s="34">
        <v>3</v>
      </c>
      <c r="CY9" s="18" t="s">
        <v>22</v>
      </c>
      <c r="CZ9" s="34">
        <v>0</v>
      </c>
      <c r="DA9" s="43" t="str">
        <f>IF(SUM(AZ7:AZ12)=60,AX8,"2º Colocado")</f>
        <v>Sport</v>
      </c>
      <c r="DB9" s="43"/>
      <c r="DC9" s="43" t="str">
        <f>IF(CV9="Cental","Lacerdão",IF(CV9="Porto","Lacerdão",IF(CV9="Salgueiro","Cornélio de Barros",IF(CV9="Vitória-PE","Carneirão",IF(CV9="Serra Talhada","Nildo Pereira",IF(CV9="Ypiranga","Otávio Limeira",IF(CV9="América-PE","Ademir Cunha",IF(CV9="Chã Grande","Carneirão",IF(CV9="Pesqueira","Otávio Limeira",IF(CV9="Náutico","Arena Pernambuco",IF(CV9="Santa Cruz","Arruda",IF(CV9="Sport","Ilha Do Retiro","Estadio Indefinido"))))))))))))</f>
        <v>Arruda</v>
      </c>
      <c r="DD9" s="43"/>
      <c r="DE9" s="43"/>
      <c r="DF9" s="2" t="str">
        <f>IF(OR(CX8="",CZ8="",DM8="",DO8="",DO9&gt;="0"),DA16,"")</f>
        <v/>
      </c>
      <c r="DG9" s="8" t="str">
        <f>IF(DV9&gt;DX9,CV9,IF(DX9&gt;DV9,DA9,IF(DV9=DX9,"Erro nas penalidades","2º Finalista")))</f>
        <v>Sport</v>
      </c>
      <c r="DH9" s="62">
        <v>41742</v>
      </c>
      <c r="DI9" s="43"/>
      <c r="DJ9" s="43"/>
      <c r="DK9" s="43" t="str">
        <f>DA9</f>
        <v>Sport</v>
      </c>
      <c r="DL9" s="43"/>
      <c r="DM9" s="34">
        <v>1</v>
      </c>
      <c r="DN9" s="21" t="s">
        <v>22</v>
      </c>
      <c r="DO9" s="34">
        <v>0</v>
      </c>
      <c r="DP9" s="43" t="str">
        <f>CV9</f>
        <v>Santa Cruz</v>
      </c>
      <c r="DQ9" s="43"/>
      <c r="DR9" s="43" t="str">
        <f>IF(DK9="Cental","Lacerdão",IF(DK9="Porto","Lacerdão",IF(DK9="Salgueiro","Cornélio de Barros",IF(DK9="Vitória-PE","Carneirão",IF(DK9="Serra Talhada","Nildo Pereira",IF(DK9="Ypiranga","Otávio Limeira",IF(DK9="América-PE","Ademir Cunha",IF(DK9="Chã Grande","Carneirão",IF(DK9="Pesqueira","Otávio Limeira",IF(DK9="Náutico","Arena Pernambuco",IF(DK9="Santa Cruz","Arruda",IF(DK9="Sport","Ilha Do Retiro","Estadio Indefinido"))))))))))))</f>
        <v>Ilha Do Retiro</v>
      </c>
      <c r="DS9" s="43"/>
      <c r="DT9" s="43"/>
      <c r="DV9" s="53">
        <v>3</v>
      </c>
      <c r="DW9" s="53"/>
      <c r="DX9" s="53">
        <v>5</v>
      </c>
      <c r="DY9" s="53"/>
      <c r="EA9" s="27">
        <f>IF(CX9="","",IF(CX9&gt;CZ9,3,IF(CZ9&gt;CX9,0,IF(CX9=CZ9,1))))</f>
        <v>3</v>
      </c>
      <c r="EB9" s="27">
        <f>IF(CX9="","",IF(CX9&lt;CZ9,3,IF(CZ9&lt;CX9,0,IF(CX9=CZ9,1))))</f>
        <v>0</v>
      </c>
      <c r="EC9" s="27">
        <f>IF(DO9="","",IF(DO9&gt;DM9,3,IF(DM9&gt;DO9,0,IF(DO9=DM9,1))))</f>
        <v>0</v>
      </c>
      <c r="ED9" s="27">
        <f>IF(DO9="","",IF(DO9&lt;DM9,3,IF(DM9&lt;DO9,0,IF(DO9=DM9,1))))</f>
        <v>3</v>
      </c>
    </row>
    <row r="10" spans="1:142">
      <c r="A10" s="3">
        <v>4</v>
      </c>
      <c r="B10" s="16" t="str">
        <f t="shared" si="18"/>
        <v>Serra Talhada</v>
      </c>
      <c r="C10" s="3">
        <f t="shared" si="19"/>
        <v>22</v>
      </c>
      <c r="D10" s="3">
        <f t="shared" si="0"/>
        <v>16</v>
      </c>
      <c r="E10" s="3">
        <f t="shared" si="1"/>
        <v>5</v>
      </c>
      <c r="F10" s="3">
        <f t="shared" si="2"/>
        <v>7</v>
      </c>
      <c r="G10" s="3">
        <f t="shared" si="3"/>
        <v>4</v>
      </c>
      <c r="H10" s="3">
        <f t="shared" si="4"/>
        <v>18</v>
      </c>
      <c r="I10" s="3">
        <f t="shared" si="5"/>
        <v>18</v>
      </c>
      <c r="J10" s="3">
        <f t="shared" si="6"/>
        <v>0</v>
      </c>
      <c r="K10" s="9">
        <f t="shared" si="7"/>
        <v>0.45833333333333331</v>
      </c>
      <c r="M10" s="7">
        <f t="shared" ref="M10:M73" si="27">IF(OR(O10="",Q10=""),"",IF(O10=Q10,1,IF(O10&gt;Q10,3,0)))</f>
        <v>3</v>
      </c>
      <c r="N10" s="3" t="s">
        <v>15</v>
      </c>
      <c r="O10" s="37">
        <v>3</v>
      </c>
      <c r="P10" s="3" t="s">
        <v>22</v>
      </c>
      <c r="Q10" s="37">
        <v>0</v>
      </c>
      <c r="R10" s="3" t="s">
        <v>16</v>
      </c>
      <c r="S10" s="8">
        <f t="shared" ref="S10:S73" si="28">IF(OR(O10="",Q10=""),"",IF(O10=Q10,1,IF(Q10&gt;O10,3,0)))</f>
        <v>0</v>
      </c>
      <c r="T10" s="2">
        <f t="shared" ref="T10:T73" si="29">IF(M10=3,1,0)</f>
        <v>1</v>
      </c>
      <c r="U10" s="2">
        <f t="shared" ref="U10:U73" si="30">IF(S10=3,1,0)</f>
        <v>0</v>
      </c>
      <c r="V10" s="2">
        <f t="shared" ref="V10:V73" si="31">IF(M10=1,1,0)</f>
        <v>0</v>
      </c>
      <c r="W10" s="2">
        <f t="shared" ref="W10:W73" si="32">IF(S10=1,1,0)</f>
        <v>0</v>
      </c>
      <c r="X10" s="2">
        <f t="shared" ref="X10:X73" si="33">IF(M10=0,1,0)</f>
        <v>0</v>
      </c>
      <c r="Y10" s="2">
        <f t="shared" ref="Y10:Y73" si="34">IF(S10=0,1,0)</f>
        <v>1</v>
      </c>
      <c r="AA10" s="3">
        <v>2</v>
      </c>
      <c r="AB10" s="3" t="s">
        <v>14</v>
      </c>
      <c r="AC10" s="3">
        <f>SUM(S9,M16,S23,M27,S33,M41,S53,M58,M63,S69,M76,S81,M88,S95,M105,S114)</f>
        <v>34</v>
      </c>
      <c r="AD10" s="3">
        <f t="shared" ref="AD10:AD17" si="35">SUM(AE10,AF10,AG10)</f>
        <v>16</v>
      </c>
      <c r="AE10" s="3">
        <f t="shared" si="20"/>
        <v>10</v>
      </c>
      <c r="AF10" s="3">
        <f>SUMIF(N$9:N$114,AB10,V$9:V$114)+(SUMIF(R$9:R$114,AB10,W$9:W$114))</f>
        <v>4</v>
      </c>
      <c r="AG10" s="3">
        <f>SUMIF(N$9:N$114,AB10,X$9:X$114)+(SUMIF(R$9:R$114,AB10,Y$9:Y$114))</f>
        <v>2</v>
      </c>
      <c r="AH10" s="3">
        <f>SUM(Q9,O16,Q23,O27,Q33,O41,Q53,O58,Q65,Q69,O76,Q81,O88,Q95,O105,Q114)</f>
        <v>29</v>
      </c>
      <c r="AI10" s="3">
        <f>SUM(O9,Q16,O23,Q27,O33,Q41,O53,Q63,O69,Q76,O81,Q88,O95,Q105,O114,Q58)</f>
        <v>14</v>
      </c>
      <c r="AJ10" s="3">
        <f t="shared" ref="AJ10:AJ17" si="36">AH10-AI10</f>
        <v>15</v>
      </c>
      <c r="AK10" s="3">
        <f t="shared" ref="AK10:AK16" si="37">IF(AD10=0,"0%",(AC10/(3*AD10)))</f>
        <v>0.70833333333333337</v>
      </c>
      <c r="AL10" s="6">
        <f t="shared" ref="AL10:AL17" si="38">(AC10*10^10)+(AJ10+50)*(10^6)+(AH10*10)+AA10</f>
        <v>340065000292</v>
      </c>
      <c r="AM10" s="6">
        <f t="shared" ref="AM10:AM17" si="39">LARGE(AL$9:AL$17,AA10)</f>
        <v>340065000292</v>
      </c>
      <c r="AN10" s="3">
        <f t="shared" ref="AN10:AN17" si="40">MATCH(AM10,AL$9:AL$17,0)</f>
        <v>2</v>
      </c>
      <c r="AP10" s="62">
        <v>41616</v>
      </c>
      <c r="AQ10" s="43"/>
      <c r="AR10" s="43" t="s">
        <v>52</v>
      </c>
      <c r="AS10" s="43"/>
      <c r="AW10" s="11">
        <v>4</v>
      </c>
      <c r="AX10" s="17" t="str">
        <f t="shared" si="8"/>
        <v>Salgueiro</v>
      </c>
      <c r="AY10" s="11">
        <f t="shared" si="9"/>
        <v>14</v>
      </c>
      <c r="AZ10" s="11">
        <f t="shared" si="10"/>
        <v>10</v>
      </c>
      <c r="BA10" s="11">
        <f t="shared" si="11"/>
        <v>4</v>
      </c>
      <c r="BB10" s="11">
        <f t="shared" si="12"/>
        <v>2</v>
      </c>
      <c r="BC10" s="11">
        <f t="shared" si="13"/>
        <v>4</v>
      </c>
      <c r="BD10" s="11">
        <f t="shared" si="14"/>
        <v>9</v>
      </c>
      <c r="BE10" s="11">
        <f t="shared" si="15"/>
        <v>18</v>
      </c>
      <c r="BF10" s="11">
        <f t="shared" si="16"/>
        <v>-9</v>
      </c>
      <c r="BG10" s="12">
        <f t="shared" si="17"/>
        <v>0.46666666666666667</v>
      </c>
      <c r="BI10" s="7">
        <f t="shared" ref="BI10:BI56" si="41">IF(OR(BK10="",BM10=""),"",IF(BK10=BM10,1,IF(BK10&gt;BM10,3,0)))</f>
        <v>3</v>
      </c>
      <c r="BJ10" s="11" t="str">
        <f>BX12</f>
        <v>Salgueiro</v>
      </c>
      <c r="BK10" s="34">
        <v>2</v>
      </c>
      <c r="BL10" s="11" t="s">
        <v>22</v>
      </c>
      <c r="BM10" s="34">
        <v>1</v>
      </c>
      <c r="BN10" s="11" t="str">
        <f>BX14</f>
        <v>Porto</v>
      </c>
      <c r="BO10" s="7">
        <f>IF(OR(BK10="",BM10=""),"",IF(BK10=BM10,1,IF(BM10&gt;BK10,3,0)))</f>
        <v>0</v>
      </c>
      <c r="BP10" s="2">
        <f t="shared" ref="BP10:BP56" si="42">IF(BI10=3,1,0)</f>
        <v>1</v>
      </c>
      <c r="BQ10" s="2">
        <f t="shared" ref="BQ10:BQ56" si="43">IF(BO10=3,1,0)</f>
        <v>0</v>
      </c>
      <c r="BR10" s="2">
        <f t="shared" ref="BR10:BR56" si="44">IF(BI10=1,1,0)</f>
        <v>0</v>
      </c>
      <c r="BS10" s="2">
        <f t="shared" ref="BS10:BS56" si="45">IF(BO10=1,1,0)</f>
        <v>0</v>
      </c>
      <c r="BT10" s="2">
        <f t="shared" ref="BT10:BT56" si="46">IF(BI10=0,1,0)</f>
        <v>0</v>
      </c>
      <c r="BU10" s="2">
        <f t="shared" ref="BU10:BU56" si="47">IF(BO10=0,1,0)</f>
        <v>1</v>
      </c>
      <c r="BW10" s="11">
        <v>2</v>
      </c>
      <c r="BX10" s="11" t="s">
        <v>72</v>
      </c>
      <c r="BY10" s="11">
        <f>SUM(BI11,BO16,BO20,BI25,BI30,BO34,BI41,BI46,BO49,BO56)</f>
        <v>20</v>
      </c>
      <c r="BZ10" s="11">
        <f t="shared" si="21"/>
        <v>10</v>
      </c>
      <c r="CA10" s="11">
        <f t="shared" si="22"/>
        <v>6</v>
      </c>
      <c r="CB10" s="11">
        <f t="shared" si="23"/>
        <v>2</v>
      </c>
      <c r="CC10" s="11">
        <f t="shared" si="24"/>
        <v>2</v>
      </c>
      <c r="CD10" s="11">
        <f>SUM(BK11,BM16,BM20,BK25,BK30,BM34,BK41,BK46,BM49,BM56)</f>
        <v>19</v>
      </c>
      <c r="CE10" s="11">
        <f>SUM(BM11,BK16,BK20,BM25,BM30,BK34,BM41,BM46,BK49,BK56)</f>
        <v>12</v>
      </c>
      <c r="CF10" s="11">
        <f t="shared" si="25"/>
        <v>7</v>
      </c>
      <c r="CG10" s="11">
        <f>IF(BZ10=0,"0%",(BY10/(3*BZ10)))</f>
        <v>0.66666666666666663</v>
      </c>
      <c r="CH10" s="6">
        <f>(BY10*10^10)+(CF10+50)*(10^6)+(CD10*10)+BW10</f>
        <v>200057000192</v>
      </c>
      <c r="CI10" s="6">
        <f t="shared" si="26"/>
        <v>170059000161</v>
      </c>
      <c r="CJ10" s="11">
        <f t="shared" ref="CJ10:CJ14" si="48">MATCH(CI10,CH$9:CH$14,0)</f>
        <v>1</v>
      </c>
      <c r="CL10" s="62">
        <v>41679</v>
      </c>
      <c r="CM10" s="43"/>
      <c r="CN10" s="43" t="str">
        <f t="shared" ref="CN10" si="49">IF(BJ10="Central","Lacerdão",IF(BJ10="Porto","Lacerdão",IF(BJ10="Salgueiro","Cornélio de Barros",IF(BJ10="Vitória-PE","Carneirão",IF(BJ10="Serra Talhada","Nildo Pereira",IF(BJ10="Ypiranga","Otávio Limeira",IF(BJ10="América-PE","Ademir Cunha",IF(BJ10="Chã Grande","Carneirão",IF(BJ10="Pesqueira","Otávio Limeira","Estadio Indefinido")))))))))</f>
        <v>Cornélio de Barros</v>
      </c>
      <c r="CO10" s="43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25"/>
      <c r="DV10" s="25"/>
      <c r="DW10" s="25"/>
      <c r="DX10" s="25"/>
      <c r="DY10" s="25"/>
      <c r="DZ10" s="25"/>
      <c r="EA10" s="33"/>
      <c r="EB10" s="33"/>
      <c r="EC10" s="33"/>
      <c r="ED10" s="33"/>
      <c r="EE10" s="22"/>
      <c r="EF10" s="22"/>
      <c r="EG10" s="22"/>
      <c r="EH10" s="22"/>
      <c r="EI10" s="22"/>
      <c r="EJ10" s="22"/>
      <c r="EK10" s="22"/>
      <c r="EL10" s="22"/>
    </row>
    <row r="11" spans="1:142">
      <c r="A11" s="3">
        <v>5</v>
      </c>
      <c r="B11" s="16" t="str">
        <f t="shared" si="18"/>
        <v>Vitória-PE</v>
      </c>
      <c r="C11" s="3">
        <f t="shared" si="19"/>
        <v>21</v>
      </c>
      <c r="D11" s="3">
        <f t="shared" si="0"/>
        <v>16</v>
      </c>
      <c r="E11" s="3">
        <f t="shared" si="1"/>
        <v>6</v>
      </c>
      <c r="F11" s="3">
        <f t="shared" si="2"/>
        <v>3</v>
      </c>
      <c r="G11" s="3">
        <f t="shared" si="3"/>
        <v>7</v>
      </c>
      <c r="H11" s="3">
        <f t="shared" si="4"/>
        <v>13</v>
      </c>
      <c r="I11" s="3">
        <f t="shared" si="5"/>
        <v>15</v>
      </c>
      <c r="J11" s="3">
        <f t="shared" si="6"/>
        <v>-2</v>
      </c>
      <c r="K11" s="9">
        <f t="shared" si="7"/>
        <v>0.4375</v>
      </c>
      <c r="M11" s="7">
        <f t="shared" si="27"/>
        <v>0</v>
      </c>
      <c r="N11" s="3" t="s">
        <v>18</v>
      </c>
      <c r="O11" s="37">
        <v>0</v>
      </c>
      <c r="P11" s="3" t="s">
        <v>22</v>
      </c>
      <c r="Q11" s="37">
        <v>1</v>
      </c>
      <c r="R11" s="3" t="s">
        <v>19</v>
      </c>
      <c r="S11" s="8">
        <f t="shared" si="28"/>
        <v>3</v>
      </c>
      <c r="T11" s="2">
        <f t="shared" si="29"/>
        <v>0</v>
      </c>
      <c r="U11" s="2">
        <f t="shared" si="30"/>
        <v>1</v>
      </c>
      <c r="V11" s="2">
        <f t="shared" si="31"/>
        <v>0</v>
      </c>
      <c r="W11" s="2">
        <f t="shared" si="32"/>
        <v>0</v>
      </c>
      <c r="X11" s="2">
        <f t="shared" si="33"/>
        <v>1</v>
      </c>
      <c r="Y11" s="2">
        <f t="shared" si="34"/>
        <v>0</v>
      </c>
      <c r="AA11" s="3">
        <v>3</v>
      </c>
      <c r="AB11" s="3" t="s">
        <v>48</v>
      </c>
      <c r="AC11" s="3">
        <f>SUM(M9,S15,M24,S30,M36,S46,M52,S57,S63,M71,S77,M82,S89,M100,S108,M113)</f>
        <v>24</v>
      </c>
      <c r="AD11" s="3">
        <f>SUM(AE11,AF11,AG11)</f>
        <v>16</v>
      </c>
      <c r="AE11" s="3">
        <f t="shared" si="20"/>
        <v>7</v>
      </c>
      <c r="AF11" s="3">
        <f>SUMIF(N$9:N$114,AB11,V$9:V$114)+(SUMIF(R$9:R$114,AB11,W$9:W$114))</f>
        <v>3</v>
      </c>
      <c r="AG11" s="3">
        <f t="shared" ref="AG11:AG16" si="50">SUMIF(N$9:N$114,AB11,X$9:X$114)+(SUMIF(R$9:R$114,AB11,Y$9:Y$114))</f>
        <v>6</v>
      </c>
      <c r="AH11" s="3">
        <f>SUM(O9,Q15,O24,Q30,O36,Q46,O52,Q57,Q63,O71,Q77,O82,Q89,O100,Q108,O113)</f>
        <v>16</v>
      </c>
      <c r="AI11" s="3">
        <f>SUM(Q9,O15,Q24,O30,Q36,O46,Q52,O57,Q65,Q71,O77,Q82,O89,Q100,O108,Q113)</f>
        <v>12</v>
      </c>
      <c r="AJ11" s="3">
        <f t="shared" si="36"/>
        <v>4</v>
      </c>
      <c r="AK11" s="3">
        <f t="shared" si="37"/>
        <v>0.5</v>
      </c>
      <c r="AL11" s="6">
        <f t="shared" si="38"/>
        <v>240054000163</v>
      </c>
      <c r="AM11" s="6">
        <f t="shared" si="39"/>
        <v>240054000163</v>
      </c>
      <c r="AN11" s="3">
        <f t="shared" si="40"/>
        <v>3</v>
      </c>
      <c r="AP11" s="62">
        <v>41616</v>
      </c>
      <c r="AQ11" s="43"/>
      <c r="AR11" s="43" t="s">
        <v>53</v>
      </c>
      <c r="AS11" s="43"/>
      <c r="AW11" s="11">
        <v>5</v>
      </c>
      <c r="AX11" s="16" t="str">
        <f t="shared" si="8"/>
        <v>Central</v>
      </c>
      <c r="AY11" s="11">
        <f t="shared" si="9"/>
        <v>13</v>
      </c>
      <c r="AZ11" s="11">
        <f t="shared" si="10"/>
        <v>10</v>
      </c>
      <c r="BA11" s="11">
        <f t="shared" si="11"/>
        <v>3</v>
      </c>
      <c r="BB11" s="11">
        <f t="shared" si="12"/>
        <v>4</v>
      </c>
      <c r="BC11" s="11">
        <f t="shared" si="13"/>
        <v>3</v>
      </c>
      <c r="BD11" s="11">
        <f t="shared" si="14"/>
        <v>14</v>
      </c>
      <c r="BE11" s="11">
        <f t="shared" si="15"/>
        <v>12</v>
      </c>
      <c r="BF11" s="11">
        <f t="shared" si="16"/>
        <v>2</v>
      </c>
      <c r="BG11" s="12">
        <f t="shared" si="17"/>
        <v>0.43333333333333335</v>
      </c>
      <c r="BI11" s="7">
        <f t="shared" si="41"/>
        <v>3</v>
      </c>
      <c r="BJ11" s="11" t="s">
        <v>72</v>
      </c>
      <c r="BK11" s="34">
        <v>2</v>
      </c>
      <c r="BL11" s="11" t="s">
        <v>22</v>
      </c>
      <c r="BM11" s="34">
        <v>1</v>
      </c>
      <c r="BN11" s="11" t="s">
        <v>71</v>
      </c>
      <c r="BO11" s="7">
        <f t="shared" ref="BO11:BO56" si="51">IF(OR(BK11="",BM11=""),"",IF(BK11=BM11,1,IF(BM11&gt;BK11,3,0)))</f>
        <v>0</v>
      </c>
      <c r="BP11" s="2">
        <f t="shared" si="42"/>
        <v>1</v>
      </c>
      <c r="BQ11" s="2">
        <f t="shared" si="43"/>
        <v>0</v>
      </c>
      <c r="BR11" s="2">
        <f t="shared" si="44"/>
        <v>0</v>
      </c>
      <c r="BS11" s="2">
        <f t="shared" si="45"/>
        <v>0</v>
      </c>
      <c r="BT11" s="2">
        <f t="shared" si="46"/>
        <v>0</v>
      </c>
      <c r="BU11" s="2">
        <f t="shared" si="47"/>
        <v>1</v>
      </c>
      <c r="BW11" s="11">
        <v>3</v>
      </c>
      <c r="BX11" s="11" t="s">
        <v>70</v>
      </c>
      <c r="BY11" s="11">
        <f>SUM(BI9,BO15,BI20,BO26,BO31,BI35,BI39,BO46,BI51,BO54)</f>
        <v>16</v>
      </c>
      <c r="BZ11" s="11">
        <f t="shared" si="21"/>
        <v>10</v>
      </c>
      <c r="CA11" s="11">
        <f t="shared" si="22"/>
        <v>4</v>
      </c>
      <c r="CB11" s="11">
        <f t="shared" si="23"/>
        <v>4</v>
      </c>
      <c r="CC11" s="11">
        <f t="shared" si="24"/>
        <v>2</v>
      </c>
      <c r="CD11" s="11">
        <f>SUM(BM15,BK9,BK20,BM26,BM31,BK35,BK39,BM46,BK51,BM54)</f>
        <v>23</v>
      </c>
      <c r="CE11" s="11">
        <f>SUM(BK15,BM9,BM20,BK26,BK31,BM35,BM39,BK46,BM51,BK54)</f>
        <v>12</v>
      </c>
      <c r="CF11" s="11">
        <f t="shared" si="25"/>
        <v>11</v>
      </c>
      <c r="CG11" s="11">
        <f t="shared" ref="CG11:CG14" si="52">IF(BZ11=0,"0%",(BY11/(3*BZ11)))</f>
        <v>0.53333333333333333</v>
      </c>
      <c r="CH11" s="6">
        <f t="shared" ref="CH11:CH14" si="53">(BY11*10^10)+(CF11+50)*(10^6)+(CD11*10)+BW11</f>
        <v>160061000233</v>
      </c>
      <c r="CI11" s="6">
        <f t="shared" si="26"/>
        <v>160061000233</v>
      </c>
      <c r="CJ11" s="11">
        <f t="shared" si="48"/>
        <v>3</v>
      </c>
      <c r="CL11" s="62">
        <v>41697</v>
      </c>
      <c r="CM11" s="43"/>
      <c r="CN11" s="43" t="s">
        <v>74</v>
      </c>
      <c r="CO11" s="43"/>
      <c r="CR11" s="48" t="s">
        <v>77</v>
      </c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50"/>
      <c r="DV11" s="42" t="s">
        <v>84</v>
      </c>
      <c r="DW11" s="42"/>
      <c r="DX11" s="42" t="s">
        <v>85</v>
      </c>
      <c r="DY11" s="42"/>
      <c r="EA11" s="29"/>
      <c r="EB11" s="29"/>
      <c r="EC11" s="29"/>
      <c r="ED11" s="29"/>
    </row>
    <row r="12" spans="1:142">
      <c r="A12" s="3">
        <v>6</v>
      </c>
      <c r="B12" s="16" t="str">
        <f t="shared" si="18"/>
        <v>Chã Grande</v>
      </c>
      <c r="C12" s="3">
        <f t="shared" si="19"/>
        <v>19</v>
      </c>
      <c r="D12" s="3">
        <f>VLOOKUP(AN14,AA$9:AK$17,4)</f>
        <v>16</v>
      </c>
      <c r="E12" s="3">
        <f t="shared" si="1"/>
        <v>5</v>
      </c>
      <c r="F12" s="3">
        <f t="shared" si="2"/>
        <v>4</v>
      </c>
      <c r="G12" s="3">
        <f t="shared" si="3"/>
        <v>7</v>
      </c>
      <c r="H12" s="3">
        <f t="shared" si="4"/>
        <v>15</v>
      </c>
      <c r="I12" s="3">
        <f t="shared" si="5"/>
        <v>18</v>
      </c>
      <c r="J12" s="3">
        <f>VLOOKUP(AN14,AA$9:AK$17,10)</f>
        <v>-3</v>
      </c>
      <c r="K12" s="9">
        <f t="shared" si="7"/>
        <v>0.39583333333333331</v>
      </c>
      <c r="M12" s="7">
        <f t="shared" si="27"/>
        <v>1</v>
      </c>
      <c r="N12" s="3" t="s">
        <v>20</v>
      </c>
      <c r="O12" s="37">
        <v>2</v>
      </c>
      <c r="P12" s="3" t="s">
        <v>22</v>
      </c>
      <c r="Q12" s="37">
        <v>2</v>
      </c>
      <c r="R12" s="3" t="s">
        <v>21</v>
      </c>
      <c r="S12" s="8">
        <f t="shared" si="28"/>
        <v>1</v>
      </c>
      <c r="T12" s="2">
        <f t="shared" si="29"/>
        <v>0</v>
      </c>
      <c r="U12" s="2">
        <f t="shared" si="30"/>
        <v>0</v>
      </c>
      <c r="V12" s="2">
        <f t="shared" si="31"/>
        <v>1</v>
      </c>
      <c r="W12" s="2">
        <f t="shared" si="32"/>
        <v>1</v>
      </c>
      <c r="X12" s="2">
        <f t="shared" si="33"/>
        <v>0</v>
      </c>
      <c r="Y12" s="2">
        <f t="shared" si="34"/>
        <v>0</v>
      </c>
      <c r="AA12" s="3">
        <v>4</v>
      </c>
      <c r="AB12" s="3" t="s">
        <v>21</v>
      </c>
      <c r="AC12" s="3">
        <f>SUM(S12,M17,S27,M35,S42,M47,S51,M57,M66,S70,M81,S87,M96,S102,M107,S113)</f>
        <v>22</v>
      </c>
      <c r="AD12" s="3">
        <f t="shared" si="35"/>
        <v>16</v>
      </c>
      <c r="AE12" s="3">
        <f t="shared" si="20"/>
        <v>5</v>
      </c>
      <c r="AF12" s="3">
        <f t="shared" ref="AF12:AF17" si="54">SUMIF(N$9:N$114,AB12,V$9:V$114)+(SUMIF(R$9:R$114,AB12,W$9:W$114))</f>
        <v>7</v>
      </c>
      <c r="AG12" s="3">
        <f t="shared" si="50"/>
        <v>4</v>
      </c>
      <c r="AH12" s="3">
        <f>SUM(Q12,O17,Q27,O35,Q42,O47,Q51,O57,O66,Q70,O81,Q87,O96,Q102,O107,Q113)</f>
        <v>18</v>
      </c>
      <c r="AI12" s="3">
        <f>SUM(O12,Q17,O27,Q35,O42,Q47,O51,Q57,Q66,O70,Q81,O87,Q96,O102,Q107,O113)</f>
        <v>18</v>
      </c>
      <c r="AJ12" s="3">
        <f t="shared" si="36"/>
        <v>0</v>
      </c>
      <c r="AK12" s="3">
        <f t="shared" si="37"/>
        <v>0.45833333333333331</v>
      </c>
      <c r="AL12" s="6">
        <f t="shared" si="38"/>
        <v>220050000184</v>
      </c>
      <c r="AM12" s="6">
        <f t="shared" si="39"/>
        <v>220050000184</v>
      </c>
      <c r="AN12" s="3">
        <f t="shared" si="40"/>
        <v>4</v>
      </c>
      <c r="AP12" s="62">
        <v>41616</v>
      </c>
      <c r="AQ12" s="43"/>
      <c r="AR12" s="43" t="s">
        <v>54</v>
      </c>
      <c r="AS12" s="43"/>
      <c r="AW12" s="11">
        <v>6</v>
      </c>
      <c r="AX12" s="16" t="str">
        <f t="shared" si="8"/>
        <v>Porto</v>
      </c>
      <c r="AY12" s="11">
        <f t="shared" si="9"/>
        <v>3</v>
      </c>
      <c r="AZ12" s="11">
        <f t="shared" si="10"/>
        <v>10</v>
      </c>
      <c r="BA12" s="11">
        <f t="shared" si="11"/>
        <v>1</v>
      </c>
      <c r="BB12" s="11">
        <f t="shared" si="12"/>
        <v>0</v>
      </c>
      <c r="BC12" s="11">
        <f t="shared" si="13"/>
        <v>9</v>
      </c>
      <c r="BD12" s="11">
        <f t="shared" si="14"/>
        <v>4</v>
      </c>
      <c r="BE12" s="11">
        <f t="shared" si="15"/>
        <v>24</v>
      </c>
      <c r="BF12" s="11">
        <f t="shared" si="16"/>
        <v>-20</v>
      </c>
      <c r="BG12" s="12">
        <f t="shared" si="17"/>
        <v>0.1</v>
      </c>
      <c r="BI12" s="7" t="str">
        <f t="shared" si="41"/>
        <v/>
      </c>
      <c r="BJ12" s="2"/>
      <c r="BK12" s="2"/>
      <c r="BL12" s="2"/>
      <c r="BM12" s="2"/>
      <c r="BN12" s="2"/>
      <c r="BO12" s="7" t="str">
        <f t="shared" si="51"/>
        <v/>
      </c>
      <c r="BP12" s="2">
        <f t="shared" si="42"/>
        <v>0</v>
      </c>
      <c r="BQ12" s="2">
        <f t="shared" si="43"/>
        <v>0</v>
      </c>
      <c r="BR12" s="2">
        <f t="shared" si="44"/>
        <v>0</v>
      </c>
      <c r="BS12" s="2">
        <f t="shared" si="45"/>
        <v>0</v>
      </c>
      <c r="BT12" s="2">
        <f t="shared" si="46"/>
        <v>0</v>
      </c>
      <c r="BU12" s="2">
        <f t="shared" si="47"/>
        <v>0</v>
      </c>
      <c r="BW12" s="11">
        <v>4</v>
      </c>
      <c r="BX12" s="11" t="str">
        <f>IF(SUM(D7:D15)=144,B7,"1º Colocado do...")</f>
        <v>Salgueiro</v>
      </c>
      <c r="BY12" s="11">
        <f>SUM(BI10,BO14,BI19,BI26,BO30,BO35,BI40,BO45,BI49,BO55)</f>
        <v>14</v>
      </c>
      <c r="BZ12" s="11">
        <f t="shared" si="21"/>
        <v>10</v>
      </c>
      <c r="CA12" s="11">
        <f t="shared" si="22"/>
        <v>4</v>
      </c>
      <c r="CB12" s="11">
        <f t="shared" si="23"/>
        <v>2</v>
      </c>
      <c r="CC12" s="11">
        <f t="shared" si="24"/>
        <v>4</v>
      </c>
      <c r="CD12" s="11">
        <f>SUM(BK10,BM14,BK19,BK26,BM30,BM35,BK40,BM45,BK49,BM55)</f>
        <v>9</v>
      </c>
      <c r="CE12" s="11">
        <f>SUM(BM10,BK14,BM19,BM26,BK30,BK35,BM40,BK45,BM49,BK55)</f>
        <v>18</v>
      </c>
      <c r="CF12" s="11">
        <f t="shared" si="25"/>
        <v>-9</v>
      </c>
      <c r="CG12" s="11">
        <f t="shared" si="52"/>
        <v>0.46666666666666667</v>
      </c>
      <c r="CH12" s="6">
        <f t="shared" si="53"/>
        <v>140041000094</v>
      </c>
      <c r="CI12" s="6">
        <f t="shared" si="26"/>
        <v>140041000094</v>
      </c>
      <c r="CJ12" s="11">
        <f t="shared" si="48"/>
        <v>4</v>
      </c>
      <c r="CS12" s="8"/>
      <c r="CT12" s="8"/>
      <c r="CU12" s="8"/>
      <c r="CV12" s="46" t="str">
        <f>IF(CV16=DA8,CV8,IF(CV16=CV8,DA8,IF(AND(CV16&lt;&gt;CV8,CV16&lt;&gt;DA8),"PJ1","")))</f>
        <v>Salgueiro</v>
      </c>
      <c r="CW12" s="46"/>
      <c r="CX12" s="8"/>
      <c r="CY12" s="8"/>
      <c r="CZ12" s="8"/>
      <c r="DA12" s="46" t="str">
        <f>IF(CV17=DA9,CV9,IF(CV17=CV9,DA9,IF(AND(CV17&lt;&gt;CV9,CV17&lt;&gt;DA9),"PJ1","")))</f>
        <v>Santa Cruz</v>
      </c>
      <c r="DB12" s="46"/>
      <c r="DC12" s="8"/>
      <c r="DD12" s="8"/>
      <c r="DE12" s="8"/>
      <c r="EA12" s="29"/>
      <c r="EB12" s="29"/>
      <c r="EC12" s="29"/>
      <c r="ED12" s="29"/>
    </row>
    <row r="13" spans="1:142">
      <c r="A13" s="3">
        <v>7</v>
      </c>
      <c r="B13" s="16" t="str">
        <f t="shared" si="18"/>
        <v>Pesqueira</v>
      </c>
      <c r="C13" s="3">
        <f t="shared" si="19"/>
        <v>16</v>
      </c>
      <c r="D13" s="3">
        <f t="shared" si="0"/>
        <v>16</v>
      </c>
      <c r="E13" s="3">
        <f t="shared" si="1"/>
        <v>4</v>
      </c>
      <c r="F13" s="3">
        <f t="shared" si="2"/>
        <v>4</v>
      </c>
      <c r="G13" s="3">
        <f t="shared" si="3"/>
        <v>8</v>
      </c>
      <c r="H13" s="3">
        <f t="shared" si="4"/>
        <v>17</v>
      </c>
      <c r="I13" s="3">
        <f t="shared" si="5"/>
        <v>21</v>
      </c>
      <c r="J13" s="3">
        <f t="shared" si="6"/>
        <v>-4</v>
      </c>
      <c r="K13" s="9">
        <f t="shared" si="7"/>
        <v>0.33333333333333331</v>
      </c>
      <c r="M13" s="7" t="str">
        <f t="shared" si="27"/>
        <v/>
      </c>
      <c r="N13" s="2"/>
      <c r="O13" s="38"/>
      <c r="P13" s="2"/>
      <c r="Q13" s="38"/>
      <c r="R13" s="2"/>
      <c r="S13" s="8" t="str">
        <f t="shared" si="28"/>
        <v/>
      </c>
      <c r="T13" s="2">
        <f t="shared" si="29"/>
        <v>0</v>
      </c>
      <c r="U13" s="2">
        <f t="shared" si="30"/>
        <v>0</v>
      </c>
      <c r="V13" s="2">
        <f t="shared" si="31"/>
        <v>0</v>
      </c>
      <c r="W13" s="2">
        <f t="shared" si="32"/>
        <v>0</v>
      </c>
      <c r="X13" s="2">
        <f t="shared" si="33"/>
        <v>0</v>
      </c>
      <c r="Y13" s="2">
        <f t="shared" si="34"/>
        <v>0</v>
      </c>
      <c r="AA13" s="3">
        <v>5</v>
      </c>
      <c r="AB13" s="3" t="s">
        <v>19</v>
      </c>
      <c r="AC13" s="3">
        <f>SUM(S11,M18,S24,M29,S34,M42,S48,M53,M65,S72,M77,S84,M90,S96,M99,S105)</f>
        <v>21</v>
      </c>
      <c r="AD13" s="3">
        <f>SUM(AE13,AF13,AG13)</f>
        <v>16</v>
      </c>
      <c r="AE13" s="3">
        <f t="shared" si="20"/>
        <v>6</v>
      </c>
      <c r="AF13" s="3">
        <f t="shared" si="54"/>
        <v>3</v>
      </c>
      <c r="AG13" s="3">
        <f t="shared" si="50"/>
        <v>7</v>
      </c>
      <c r="AH13" s="3">
        <f>SUM(Q11,O18,Q24,O29,Q34,O42,Q48,O53,O65,Q72,O77,Q84,O90,Q96,O99,Q105)</f>
        <v>13</v>
      </c>
      <c r="AI13" s="3">
        <f>SUM(O11,Q18,O24,Q29,O34,Q42,O48,Q53,Q65,O72,Q77,O84,Q90,O96,Q99,O105)</f>
        <v>15</v>
      </c>
      <c r="AJ13" s="3">
        <f t="shared" si="36"/>
        <v>-2</v>
      </c>
      <c r="AK13" s="3">
        <f t="shared" si="37"/>
        <v>0.4375</v>
      </c>
      <c r="AL13" s="6">
        <f t="shared" si="38"/>
        <v>210048000135</v>
      </c>
      <c r="AM13" s="6">
        <f t="shared" si="39"/>
        <v>210048000135</v>
      </c>
      <c r="AN13" s="3">
        <f t="shared" si="40"/>
        <v>5</v>
      </c>
      <c r="BI13" s="7" t="str">
        <f t="shared" si="41"/>
        <v/>
      </c>
      <c r="BJ13" s="80" t="s">
        <v>23</v>
      </c>
      <c r="BK13" s="57"/>
      <c r="BL13" s="57"/>
      <c r="BM13" s="57"/>
      <c r="BN13" s="58"/>
      <c r="BO13" s="7" t="str">
        <f t="shared" si="51"/>
        <v/>
      </c>
      <c r="BP13" s="2">
        <f t="shared" si="42"/>
        <v>0</v>
      </c>
      <c r="BQ13" s="2">
        <f t="shared" si="43"/>
        <v>0</v>
      </c>
      <c r="BR13" s="2">
        <f t="shared" si="44"/>
        <v>0</v>
      </c>
      <c r="BS13" s="2">
        <f t="shared" si="45"/>
        <v>0</v>
      </c>
      <c r="BT13" s="2">
        <f t="shared" si="46"/>
        <v>0</v>
      </c>
      <c r="BU13" s="2">
        <f t="shared" si="47"/>
        <v>0</v>
      </c>
      <c r="BW13" s="11">
        <v>5</v>
      </c>
      <c r="BX13" s="11" t="str">
        <f>IF(SUM(D7:D15)=144,B8,"2º Colocado do...")</f>
        <v>Central</v>
      </c>
      <c r="BY13" s="11">
        <f>SUM(BO9,BI16,BO19,BO24,BI29,BI36,BO41,BI45,BO50,BI54)</f>
        <v>13</v>
      </c>
      <c r="BZ13" s="11">
        <f t="shared" si="21"/>
        <v>10</v>
      </c>
      <c r="CA13" s="11">
        <f t="shared" si="22"/>
        <v>3</v>
      </c>
      <c r="CB13" s="11">
        <f t="shared" si="23"/>
        <v>4</v>
      </c>
      <c r="CC13" s="11">
        <f t="shared" si="24"/>
        <v>3</v>
      </c>
      <c r="CD13" s="11">
        <f>SUM(BM9,BK16,BM19,BM24,BK29,BK36,BM41,BK45,BM50,BK54)</f>
        <v>14</v>
      </c>
      <c r="CE13" s="11">
        <f>SUM(BK9,BM16,BK19,BK24,BM29,BM36,BK41,BM45,BK50,BM54)</f>
        <v>12</v>
      </c>
      <c r="CF13" s="11">
        <f t="shared" si="25"/>
        <v>2</v>
      </c>
      <c r="CG13" s="11">
        <f t="shared" si="52"/>
        <v>0.43333333333333335</v>
      </c>
      <c r="CH13" s="6">
        <f t="shared" si="53"/>
        <v>130052000145</v>
      </c>
      <c r="CI13" s="6">
        <f t="shared" si="26"/>
        <v>130052000145</v>
      </c>
      <c r="CJ13" s="11">
        <f t="shared" si="48"/>
        <v>5</v>
      </c>
      <c r="CS13" s="47">
        <v>41746</v>
      </c>
      <c r="CT13" s="41"/>
      <c r="CU13" s="45"/>
      <c r="CV13" s="41" t="str">
        <f>IF(CV12="PJ1",CV12,IF(CV12=CV8,CV8,IF(CV12=DA8,DA12,"PJ1")))</f>
        <v>Salgueiro</v>
      </c>
      <c r="CW13" s="41"/>
      <c r="CX13" s="34"/>
      <c r="CY13" s="18" t="s">
        <v>22</v>
      </c>
      <c r="CZ13" s="34"/>
      <c r="DA13" s="44" t="str">
        <f>IF(DA12="PJ2",DA12,IF(CV12=DA8,DA12,IF(CV12=CV8,DA12,"PJ2")))</f>
        <v>Santa Cruz</v>
      </c>
      <c r="DB13" s="45"/>
      <c r="DC13" s="43" t="str">
        <f>IF(CV13="Cental","Lacerdão",IF(CV13="Porto","Lacerdão",IF(CV13="Salgueiro","Cornélio de Barros",IF(CV13="Vitória-PE","Carneirão",IF(CV13="Serra Talhada","Nildo Pereira",IF(CV13="Ypiranga","Otávio Limeira",IF(CV13="América-PE","Ademir Cunha",IF(CV13="Chã Grande","Carneirão",IF(CV13="Pesqueira","Otávio Limeira",IF(CV13="Náutico","Arena Pernambuco",IF(CV13="Santa Cruz","Arruda",IF(CV13="Sport","Ilha Do Retiro","Estadio Indefinido"))))))))))))</f>
        <v>Cornélio de Barros</v>
      </c>
      <c r="DD13" s="43"/>
      <c r="DE13" s="43"/>
      <c r="DH13" s="47">
        <v>41753</v>
      </c>
      <c r="DI13" s="41"/>
      <c r="DJ13" s="45"/>
      <c r="DK13" s="44" t="str">
        <f>DA13</f>
        <v>Santa Cruz</v>
      </c>
      <c r="DL13" s="45"/>
      <c r="DM13" s="34"/>
      <c r="DN13" s="18" t="s">
        <v>22</v>
      </c>
      <c r="DO13" s="34"/>
      <c r="DP13" s="44" t="str">
        <f>CV13</f>
        <v>Salgueiro</v>
      </c>
      <c r="DQ13" s="45"/>
      <c r="DR13" s="43" t="str">
        <f>IF(DK13="Cental","Lacerdão",IF(DK13="Porto","Lacerdão",IF(DK13="Salgueiro","Cornélio de Barros",IF(DK13="Vitória-PE","Carneirão",IF(DK13="Serra Talhada","Nildo Pereira",IF(DK13="Ypiranga","Otávio Limeira",IF(DK13="América-PE","Ademir Cunha",IF(DK13="Chã Grande","Carneirão",IF(DK13="Pesqueira","Otávio Limeira",IF(DK13="Náutico","Arena Pernambuco",IF(DK13="Santa Cruz","Arruda",IF(DK13="Sport","Ilha Do Retiro","Estadio Indefinido"))))))))))))</f>
        <v>Arruda</v>
      </c>
      <c r="DS13" s="43"/>
      <c r="DT13" s="43"/>
      <c r="DV13" s="53"/>
      <c r="DW13" s="53"/>
      <c r="DX13" s="53"/>
      <c r="DY13" s="53"/>
      <c r="EA13" s="30" t="str">
        <f>IF(CX13="","",IF(CX13&gt;CZ13,3,IF(CZ13&gt;CX13,0,IF(CX13=CZ13,1))))</f>
        <v/>
      </c>
      <c r="EB13" s="30" t="str">
        <f t="shared" ref="EB13" si="55">IF(CX13="","",IF(CX13&lt;CZ13,3,IF(CZ13&lt;CX13,0,IF(CX13=CZ13,1))))</f>
        <v/>
      </c>
      <c r="EC13" s="30" t="str">
        <f t="shared" ref="EC13" si="56">IF(DO13="","",IF(DO13&gt;DM13,3,IF(DM13&gt;DO13,0,IF(DO13=DM13,1))))</f>
        <v/>
      </c>
      <c r="ED13" s="30" t="str">
        <f>IF(DO13="","",IF(DO13&lt;DM13,3,IF(DM13&lt;DO13,0,IF(DO13=DM13,1))))</f>
        <v/>
      </c>
    </row>
    <row r="14" spans="1:142">
      <c r="A14" s="3">
        <v>8</v>
      </c>
      <c r="B14" s="16" t="str">
        <f>VLOOKUP(AN16,AA$9:AK$17,2)</f>
        <v>Ypiranga</v>
      </c>
      <c r="C14" s="3">
        <f t="shared" si="19"/>
        <v>14</v>
      </c>
      <c r="D14" s="3">
        <f t="shared" si="0"/>
        <v>16</v>
      </c>
      <c r="E14" s="3">
        <f t="shared" si="1"/>
        <v>4</v>
      </c>
      <c r="F14" s="3">
        <f t="shared" si="2"/>
        <v>2</v>
      </c>
      <c r="G14" s="3">
        <f t="shared" si="3"/>
        <v>10</v>
      </c>
      <c r="H14" s="3">
        <f t="shared" si="4"/>
        <v>9</v>
      </c>
      <c r="I14" s="3">
        <f t="shared" si="5"/>
        <v>24</v>
      </c>
      <c r="J14" s="3">
        <f t="shared" si="6"/>
        <v>-15</v>
      </c>
      <c r="K14" s="9">
        <f t="shared" si="7"/>
        <v>0.29166666666666669</v>
      </c>
      <c r="M14" s="7" t="str">
        <f t="shared" si="27"/>
        <v/>
      </c>
      <c r="N14" s="80" t="s">
        <v>23</v>
      </c>
      <c r="O14" s="57"/>
      <c r="P14" s="57"/>
      <c r="Q14" s="57"/>
      <c r="R14" s="58"/>
      <c r="S14" s="8" t="str">
        <f t="shared" si="28"/>
        <v/>
      </c>
      <c r="T14" s="2">
        <f t="shared" si="29"/>
        <v>0</v>
      </c>
      <c r="U14" s="2">
        <f t="shared" si="30"/>
        <v>0</v>
      </c>
      <c r="V14" s="2">
        <f t="shared" si="31"/>
        <v>0</v>
      </c>
      <c r="W14" s="2">
        <f t="shared" si="32"/>
        <v>0</v>
      </c>
      <c r="X14" s="2">
        <f t="shared" si="33"/>
        <v>0</v>
      </c>
      <c r="Y14" s="2">
        <f t="shared" si="34"/>
        <v>0</v>
      </c>
      <c r="AA14" s="3">
        <v>6</v>
      </c>
      <c r="AB14" s="3" t="s">
        <v>18</v>
      </c>
      <c r="AC14" s="3">
        <f>SUM(M11,S16,M22,M30,S40,S47,M54,S59,S65,M69,S75,S82,M93,M102,S106,M111)</f>
        <v>19</v>
      </c>
      <c r="AD14" s="3">
        <f t="shared" si="35"/>
        <v>16</v>
      </c>
      <c r="AE14" s="3">
        <f t="shared" si="20"/>
        <v>5</v>
      </c>
      <c r="AF14" s="3">
        <f t="shared" si="54"/>
        <v>4</v>
      </c>
      <c r="AG14" s="3">
        <f t="shared" si="50"/>
        <v>7</v>
      </c>
      <c r="AH14" s="3">
        <f>SUM(O11,Q16,O22,O30,Q40,Q47,O54,Q59,Q65,O69,Q75,Q82,O93,O102,Q106,O111)</f>
        <v>15</v>
      </c>
      <c r="AI14" s="3">
        <f>SUM(Q11,O16,Q22,Q30,O40,O47,Q54,O59,O65,Q69,O75,O82,Q93,Q102,O106,Q111)</f>
        <v>18</v>
      </c>
      <c r="AJ14" s="3">
        <f t="shared" si="36"/>
        <v>-3</v>
      </c>
      <c r="AK14" s="3">
        <f t="shared" si="37"/>
        <v>0.39583333333333331</v>
      </c>
      <c r="AL14" s="6">
        <f t="shared" si="38"/>
        <v>190047000156</v>
      </c>
      <c r="AM14" s="6">
        <f t="shared" si="39"/>
        <v>190047000156</v>
      </c>
      <c r="AN14" s="3">
        <f t="shared" si="40"/>
        <v>6</v>
      </c>
      <c r="AX14" s="76" t="s">
        <v>67</v>
      </c>
      <c r="AY14" s="77"/>
      <c r="AZ14" s="43" t="s">
        <v>68</v>
      </c>
      <c r="BA14" s="43"/>
      <c r="BB14" s="43"/>
      <c r="BC14" s="43" t="s">
        <v>69</v>
      </c>
      <c r="BD14" s="43"/>
      <c r="BE14" s="43"/>
      <c r="BF14" s="43"/>
      <c r="BI14" s="7">
        <f t="shared" si="41"/>
        <v>3</v>
      </c>
      <c r="BJ14" s="11" t="s">
        <v>71</v>
      </c>
      <c r="BK14" s="34">
        <v>4</v>
      </c>
      <c r="BL14" s="11" t="s">
        <v>22</v>
      </c>
      <c r="BM14" s="34">
        <v>0</v>
      </c>
      <c r="BN14" s="11" t="str">
        <f>BJ10</f>
        <v>Salgueiro</v>
      </c>
      <c r="BO14" s="7">
        <f t="shared" si="51"/>
        <v>0</v>
      </c>
      <c r="BP14" s="2">
        <f t="shared" si="42"/>
        <v>1</v>
      </c>
      <c r="BQ14" s="2">
        <f t="shared" si="43"/>
        <v>0</v>
      </c>
      <c r="BR14" s="2">
        <f t="shared" si="44"/>
        <v>0</v>
      </c>
      <c r="BS14" s="2">
        <f t="shared" si="45"/>
        <v>0</v>
      </c>
      <c r="BT14" s="2">
        <f t="shared" si="46"/>
        <v>0</v>
      </c>
      <c r="BU14" s="2">
        <f t="shared" si="47"/>
        <v>1</v>
      </c>
      <c r="BW14" s="11">
        <v>6</v>
      </c>
      <c r="BX14" s="11" t="str">
        <f>IF(SUM(D7:D15)=144,B9,"3º Colocado do...")</f>
        <v>Porto</v>
      </c>
      <c r="BY14" s="11">
        <f>SUM(BO10,BI15,BI21,BO25,BO29,BI34,BO39,BO44,BI50,BI55)</f>
        <v>3</v>
      </c>
      <c r="BZ14" s="11">
        <f t="shared" si="21"/>
        <v>10</v>
      </c>
      <c r="CA14" s="11">
        <f t="shared" si="22"/>
        <v>1</v>
      </c>
      <c r="CB14" s="11">
        <f t="shared" si="23"/>
        <v>0</v>
      </c>
      <c r="CC14" s="11">
        <f t="shared" si="24"/>
        <v>9</v>
      </c>
      <c r="CD14" s="11">
        <f>SUM(BM10,BK15,BK21,BM25,BM29,BK34,BM39,BM44,BK50,BK55)</f>
        <v>4</v>
      </c>
      <c r="CE14" s="11">
        <f>SUM(BK10,BM15,BM21,BK25,BK29,BM34,BK39,BK44,BM50,BM55)</f>
        <v>24</v>
      </c>
      <c r="CF14" s="11">
        <f t="shared" si="25"/>
        <v>-20</v>
      </c>
      <c r="CG14" s="11">
        <f t="shared" si="52"/>
        <v>0.1</v>
      </c>
      <c r="CH14" s="6">
        <f t="shared" si="53"/>
        <v>30030000046</v>
      </c>
      <c r="CI14" s="6">
        <f t="shared" si="26"/>
        <v>30030000046</v>
      </c>
      <c r="CJ14" s="11">
        <f t="shared" si="48"/>
        <v>6</v>
      </c>
      <c r="CL14" s="62">
        <v>41682</v>
      </c>
      <c r="CM14" s="43"/>
      <c r="CN14" s="43" t="s">
        <v>75</v>
      </c>
      <c r="CO14" s="43"/>
      <c r="CR14" s="8"/>
      <c r="CS14" s="8"/>
      <c r="CT14" s="8"/>
      <c r="CU14" s="8"/>
      <c r="CV14" s="8"/>
      <c r="CW14" s="8"/>
      <c r="CX14" s="8">
        <f>SUM(EA13,EC13,DV13)</f>
        <v>0</v>
      </c>
      <c r="CY14" s="8"/>
      <c r="CZ14" s="8">
        <f>SUM(EB13,ED13,DX13)</f>
        <v>0</v>
      </c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7"/>
      <c r="DV14" s="7"/>
      <c r="DW14" s="7"/>
      <c r="DX14" s="7"/>
      <c r="DY14" s="7"/>
      <c r="DZ14" s="7"/>
      <c r="EA14" s="33"/>
      <c r="EB14" s="33"/>
      <c r="EC14" s="33"/>
      <c r="ED14" s="33"/>
    </row>
    <row r="15" spans="1:142">
      <c r="A15" s="3">
        <v>9</v>
      </c>
      <c r="B15" s="16" t="str">
        <f t="shared" si="18"/>
        <v>América-PE</v>
      </c>
      <c r="C15" s="3">
        <f t="shared" si="19"/>
        <v>13</v>
      </c>
      <c r="D15" s="3">
        <f t="shared" si="0"/>
        <v>16</v>
      </c>
      <c r="E15" s="3">
        <f t="shared" si="1"/>
        <v>3</v>
      </c>
      <c r="F15" s="3">
        <f t="shared" si="2"/>
        <v>4</v>
      </c>
      <c r="G15" s="3">
        <f t="shared" si="3"/>
        <v>9</v>
      </c>
      <c r="H15" s="3">
        <f t="shared" si="4"/>
        <v>12</v>
      </c>
      <c r="I15" s="3">
        <f t="shared" si="5"/>
        <v>23</v>
      </c>
      <c r="J15" s="3">
        <f t="shared" si="6"/>
        <v>-11</v>
      </c>
      <c r="K15" s="9">
        <f t="shared" si="7"/>
        <v>0.27083333333333331</v>
      </c>
      <c r="M15" s="7">
        <f t="shared" si="27"/>
        <v>0</v>
      </c>
      <c r="N15" s="3" t="s">
        <v>16</v>
      </c>
      <c r="O15" s="37">
        <v>0</v>
      </c>
      <c r="P15" s="3" t="s">
        <v>22</v>
      </c>
      <c r="Q15" s="37">
        <v>2</v>
      </c>
      <c r="R15" s="3" t="s">
        <v>48</v>
      </c>
      <c r="S15" s="8">
        <f t="shared" si="28"/>
        <v>3</v>
      </c>
      <c r="T15" s="2">
        <f t="shared" si="29"/>
        <v>0</v>
      </c>
      <c r="U15" s="2">
        <f t="shared" si="30"/>
        <v>1</v>
      </c>
      <c r="V15" s="2">
        <f t="shared" si="31"/>
        <v>0</v>
      </c>
      <c r="W15" s="2">
        <f t="shared" si="32"/>
        <v>0</v>
      </c>
      <c r="X15" s="2">
        <f t="shared" si="33"/>
        <v>1</v>
      </c>
      <c r="Y15" s="2">
        <f t="shared" si="34"/>
        <v>0</v>
      </c>
      <c r="AA15" s="3">
        <v>7</v>
      </c>
      <c r="AB15" s="3" t="s">
        <v>24</v>
      </c>
      <c r="AC15" s="3">
        <f>SUM(S17,M21,S29,M33,S39,M45,S52,M59,M70,S78,M84,S88,M94,S101,M108,S111)</f>
        <v>16</v>
      </c>
      <c r="AD15" s="3">
        <f t="shared" si="35"/>
        <v>16</v>
      </c>
      <c r="AE15" s="3">
        <f t="shared" si="20"/>
        <v>4</v>
      </c>
      <c r="AF15" s="3">
        <f t="shared" si="54"/>
        <v>4</v>
      </c>
      <c r="AG15" s="3">
        <f t="shared" si="50"/>
        <v>8</v>
      </c>
      <c r="AH15" s="3">
        <f>SUM(Q17,O21,Q29,O33,Q39,O45,Q52,O59,O70,Q78,O84,Q88,O94,Q101,O108,Q111)</f>
        <v>17</v>
      </c>
      <c r="AI15" s="3">
        <f>SUM(O17,Q21,O29,Q33,O39,Q45,O52,Q59,Q70,O78,Q84,O88,Q94,O101,Q108,O111)</f>
        <v>21</v>
      </c>
      <c r="AJ15" s="3">
        <f t="shared" si="36"/>
        <v>-4</v>
      </c>
      <c r="AK15" s="3">
        <f t="shared" si="37"/>
        <v>0.33333333333333331</v>
      </c>
      <c r="AL15" s="6">
        <f t="shared" si="38"/>
        <v>160046000177</v>
      </c>
      <c r="AM15" s="6">
        <f t="shared" si="39"/>
        <v>160046000177</v>
      </c>
      <c r="AN15" s="3">
        <f t="shared" si="40"/>
        <v>7</v>
      </c>
      <c r="AP15" s="62">
        <v>41619</v>
      </c>
      <c r="AQ15" s="43"/>
      <c r="AR15" s="43" t="s">
        <v>55</v>
      </c>
      <c r="AS15" s="43"/>
      <c r="BI15" s="7">
        <f t="shared" si="41"/>
        <v>3</v>
      </c>
      <c r="BJ15" s="11" t="str">
        <f>BN10</f>
        <v>Porto</v>
      </c>
      <c r="BK15" s="34">
        <v>1</v>
      </c>
      <c r="BL15" s="11" t="s">
        <v>22</v>
      </c>
      <c r="BM15" s="34">
        <v>0</v>
      </c>
      <c r="BN15" s="11" t="s">
        <v>70</v>
      </c>
      <c r="BO15" s="7">
        <f t="shared" si="51"/>
        <v>0</v>
      </c>
      <c r="BP15" s="2">
        <f t="shared" si="42"/>
        <v>1</v>
      </c>
      <c r="BQ15" s="2">
        <f t="shared" si="43"/>
        <v>0</v>
      </c>
      <c r="BR15" s="2">
        <f t="shared" si="44"/>
        <v>0</v>
      </c>
      <c r="BS15" s="2">
        <f t="shared" si="45"/>
        <v>0</v>
      </c>
      <c r="BT15" s="2">
        <f t="shared" si="46"/>
        <v>0</v>
      </c>
      <c r="BU15" s="2">
        <f t="shared" si="47"/>
        <v>1</v>
      </c>
      <c r="CL15" s="62">
        <v>41682</v>
      </c>
      <c r="CM15" s="43"/>
      <c r="CN15" s="43" t="str">
        <f t="shared" ref="CN15:CN16" si="57">IF(BJ15="Central","Lacerdão",IF(BJ15="Porto","Lacerdão",IF(BJ15="Salgueiro","Cornélio de Barros",IF(BJ15="Vitória-PE","Carneirão",IF(BJ15="Serra Talhada","Nildo Pereira",IF(BJ15="Ypiranga","Otávio Limeira",IF(BJ15="América-PE","Ademir Cunha",IF(BJ15="Chã Grande","Carneirão",IF(BJ15="Pesqueira","Otávio Limeira","Estadio Indefinido")))))))))</f>
        <v>Lacerdão</v>
      </c>
      <c r="CO15" s="43"/>
      <c r="CR15" s="51" t="s">
        <v>78</v>
      </c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V15" s="42" t="s">
        <v>84</v>
      </c>
      <c r="DW15" s="42"/>
      <c r="DX15" s="42" t="s">
        <v>85</v>
      </c>
      <c r="DY15" s="42"/>
      <c r="EA15" s="29"/>
      <c r="EB15" s="29"/>
      <c r="EC15" s="29"/>
      <c r="ED15" s="29"/>
    </row>
    <row r="16" spans="1:142">
      <c r="M16" s="7">
        <f t="shared" si="27"/>
        <v>3</v>
      </c>
      <c r="N16" s="3" t="s">
        <v>14</v>
      </c>
      <c r="O16" s="37">
        <v>3</v>
      </c>
      <c r="P16" s="3" t="s">
        <v>22</v>
      </c>
      <c r="Q16" s="37">
        <v>1</v>
      </c>
      <c r="R16" s="3" t="s">
        <v>18</v>
      </c>
      <c r="S16" s="8">
        <f t="shared" si="28"/>
        <v>0</v>
      </c>
      <c r="T16" s="2">
        <f t="shared" si="29"/>
        <v>1</v>
      </c>
      <c r="U16" s="2">
        <f t="shared" si="30"/>
        <v>0</v>
      </c>
      <c r="V16" s="2">
        <f t="shared" si="31"/>
        <v>0</v>
      </c>
      <c r="W16" s="2">
        <f t="shared" si="32"/>
        <v>0</v>
      </c>
      <c r="X16" s="2">
        <f t="shared" si="33"/>
        <v>0</v>
      </c>
      <c r="Y16" s="2">
        <f t="shared" si="34"/>
        <v>1</v>
      </c>
      <c r="AA16" s="3">
        <v>8</v>
      </c>
      <c r="AB16" s="3" t="s">
        <v>16</v>
      </c>
      <c r="AC16" s="3">
        <f>SUM(S10,M15,S22,M28,S35,M39,M48,S58,M64,S71,M75,S83,M87,S94,S99,M114)</f>
        <v>14</v>
      </c>
      <c r="AD16" s="3">
        <f t="shared" si="35"/>
        <v>16</v>
      </c>
      <c r="AE16" s="3">
        <f t="shared" si="20"/>
        <v>4</v>
      </c>
      <c r="AF16" s="3">
        <f t="shared" si="54"/>
        <v>2</v>
      </c>
      <c r="AG16" s="3">
        <f t="shared" si="50"/>
        <v>10</v>
      </c>
      <c r="AH16" s="3">
        <f>SUM(Q10,O15,Q22,O28,Q35,O39,O48,Q58,O64,Q71,Q83,O75,O87,Q94,Q99,O114)</f>
        <v>9</v>
      </c>
      <c r="AI16" s="3">
        <f>SUM(O10,Q15,O22,Q28,O35,Q39,Q48,O58,Q64,O71,Q75,O83,Q87,O94,O99,Q114)</f>
        <v>24</v>
      </c>
      <c r="AJ16" s="3">
        <f t="shared" si="36"/>
        <v>-15</v>
      </c>
      <c r="AK16" s="3">
        <f t="shared" si="37"/>
        <v>0.29166666666666669</v>
      </c>
      <c r="AL16" s="6">
        <f t="shared" si="38"/>
        <v>140035000098</v>
      </c>
      <c r="AM16" s="6">
        <f t="shared" si="39"/>
        <v>140035000098</v>
      </c>
      <c r="AN16" s="3">
        <f t="shared" si="40"/>
        <v>8</v>
      </c>
      <c r="AP16" s="62">
        <v>41619</v>
      </c>
      <c r="AQ16" s="43"/>
      <c r="AR16" s="43" t="s">
        <v>51</v>
      </c>
      <c r="AS16" s="43"/>
      <c r="AV16" s="22"/>
      <c r="AW16" s="57" t="s">
        <v>60</v>
      </c>
      <c r="AX16" s="57"/>
      <c r="AY16" s="57"/>
      <c r="AZ16" s="57"/>
      <c r="BA16" s="57"/>
      <c r="BB16" s="57"/>
      <c r="BC16" s="57"/>
      <c r="BD16" s="57"/>
      <c r="BE16" s="57"/>
      <c r="BF16" s="58"/>
      <c r="BI16" s="7">
        <f t="shared" si="41"/>
        <v>1</v>
      </c>
      <c r="BJ16" s="11" t="str">
        <f>BN9</f>
        <v>Central</v>
      </c>
      <c r="BK16" s="34">
        <v>1</v>
      </c>
      <c r="BL16" s="11" t="s">
        <v>22</v>
      </c>
      <c r="BM16" s="34">
        <v>1</v>
      </c>
      <c r="BN16" s="11" t="s">
        <v>72</v>
      </c>
      <c r="BO16" s="7">
        <f t="shared" si="51"/>
        <v>1</v>
      </c>
      <c r="BP16" s="2">
        <f t="shared" si="42"/>
        <v>0</v>
      </c>
      <c r="BQ16" s="2">
        <f t="shared" si="43"/>
        <v>0</v>
      </c>
      <c r="BR16" s="2">
        <f t="shared" si="44"/>
        <v>1</v>
      </c>
      <c r="BS16" s="2">
        <f t="shared" si="45"/>
        <v>1</v>
      </c>
      <c r="BT16" s="2">
        <f t="shared" si="46"/>
        <v>0</v>
      </c>
      <c r="BU16" s="2">
        <f t="shared" si="47"/>
        <v>0</v>
      </c>
      <c r="CL16" s="62">
        <v>41683</v>
      </c>
      <c r="CM16" s="43"/>
      <c r="CN16" s="43" t="str">
        <f t="shared" si="57"/>
        <v>Lacerdão</v>
      </c>
      <c r="CO16" s="43"/>
      <c r="CS16" s="8"/>
      <c r="CT16" s="8"/>
      <c r="CU16" s="8"/>
      <c r="CV16" s="90" t="str">
        <f>IF(AND(CX8&gt;CZ8,DO8&gt;DM8),CV8,IF(AND(CZ8&gt;CX8,DM8&gt;DO8),DA8,IF(AND(CX8&gt;CZ8,DM8&gt;DO8),DG8,IF(AND(CZ8&gt;CX8,DO8&gt;DM8),DG8,"1º Finalista"))))</f>
        <v>Náutico</v>
      </c>
      <c r="CW16" s="90"/>
      <c r="CX16" s="8"/>
      <c r="CY16" s="8"/>
      <c r="CZ16" s="8"/>
      <c r="DA16" s="90" t="str">
        <f>IF(AND(CX9&gt;CZ9,DO9&gt;DM9),CV9,IF(AND(CZ9&gt;CX9,DM9&gt;DO9),DA9,IF(AND(CX9&gt;CZ9,DM9&gt;DO9),DG9,IF(AND(CZ9&gt;CX9,DO9&gt;DM9),DG9,"2º Finalista"))))</f>
        <v>Sport</v>
      </c>
      <c r="DB16" s="90"/>
      <c r="DC16" s="8"/>
      <c r="DD16" s="8"/>
      <c r="DE16" s="8"/>
      <c r="EA16" s="29"/>
      <c r="EB16" s="29"/>
      <c r="EC16" s="29"/>
      <c r="ED16" s="29"/>
    </row>
    <row r="17" spans="1:134">
      <c r="B17" s="76" t="s">
        <v>67</v>
      </c>
      <c r="C17" s="77"/>
      <c r="D17" s="43" t="s">
        <v>68</v>
      </c>
      <c r="E17" s="43"/>
      <c r="F17" s="43"/>
      <c r="G17" s="43" t="s">
        <v>69</v>
      </c>
      <c r="H17" s="43"/>
      <c r="I17" s="43"/>
      <c r="J17" s="43"/>
      <c r="M17" s="7">
        <f t="shared" si="27"/>
        <v>0</v>
      </c>
      <c r="N17" s="3" t="s">
        <v>21</v>
      </c>
      <c r="O17" s="37">
        <v>1</v>
      </c>
      <c r="P17" s="3" t="s">
        <v>22</v>
      </c>
      <c r="Q17" s="37">
        <v>2</v>
      </c>
      <c r="R17" s="3" t="s">
        <v>24</v>
      </c>
      <c r="S17" s="8">
        <f t="shared" si="28"/>
        <v>3</v>
      </c>
      <c r="T17" s="2">
        <f t="shared" si="29"/>
        <v>0</v>
      </c>
      <c r="U17" s="2">
        <f t="shared" si="30"/>
        <v>1</v>
      </c>
      <c r="V17" s="2">
        <f t="shared" si="31"/>
        <v>0</v>
      </c>
      <c r="W17" s="2">
        <f t="shared" si="32"/>
        <v>0</v>
      </c>
      <c r="X17" s="2">
        <f t="shared" si="33"/>
        <v>1</v>
      </c>
      <c r="Y17" s="2">
        <f t="shared" si="34"/>
        <v>0</v>
      </c>
      <c r="AA17" s="3">
        <v>9</v>
      </c>
      <c r="AB17" s="3" t="s">
        <v>20</v>
      </c>
      <c r="AC17" s="3">
        <f>SUM(M12,S21,S28,M34,S41,M46,S54,M60,S66,M78,M83,S90,M95,S100,M106,S112)</f>
        <v>13</v>
      </c>
      <c r="AD17" s="3">
        <f t="shared" si="35"/>
        <v>16</v>
      </c>
      <c r="AE17" s="3">
        <f t="shared" si="20"/>
        <v>3</v>
      </c>
      <c r="AF17" s="3">
        <f t="shared" si="54"/>
        <v>4</v>
      </c>
      <c r="AG17" s="3">
        <f>SUMIF(N$9:N$114,AB17,X$9:X$114)+(SUMIF(R$9:R$114,AB17,Y$9:Y$114))</f>
        <v>9</v>
      </c>
      <c r="AH17" s="3">
        <f>SUM(O12,Q21,Q28,O34,Q41,O46,Q54,O60,Q66,O78,O83,Q90,O95,Q100,O106,Q112)</f>
        <v>12</v>
      </c>
      <c r="AI17" s="3">
        <f>SUM(Q12,O21,O28,Q34,O41,Q46,O54,Q60,O66,Q78,Q83,O90,Q95,O100,Q106,O112)</f>
        <v>23</v>
      </c>
      <c r="AJ17" s="3">
        <f t="shared" si="36"/>
        <v>-11</v>
      </c>
      <c r="AK17" s="3">
        <f>IF(AD17=0,"0%",(AC17/(3*AD17)))</f>
        <v>0.27083333333333331</v>
      </c>
      <c r="AL17" s="6">
        <f t="shared" si="38"/>
        <v>130039000129</v>
      </c>
      <c r="AM17" s="6">
        <f t="shared" si="39"/>
        <v>130039000129</v>
      </c>
      <c r="AN17" s="3">
        <f t="shared" si="40"/>
        <v>9</v>
      </c>
      <c r="AP17" s="62">
        <v>41619</v>
      </c>
      <c r="AQ17" s="43"/>
      <c r="AR17" s="43" t="s">
        <v>56</v>
      </c>
      <c r="AS17" s="43"/>
      <c r="BI17" s="7" t="str">
        <f t="shared" si="41"/>
        <v/>
      </c>
      <c r="BO17" s="7" t="str">
        <f t="shared" si="51"/>
        <v/>
      </c>
      <c r="BP17" s="2">
        <f t="shared" si="42"/>
        <v>0</v>
      </c>
      <c r="BQ17" s="2">
        <f t="shared" si="43"/>
        <v>0</v>
      </c>
      <c r="BR17" s="2">
        <f t="shared" si="44"/>
        <v>0</v>
      </c>
      <c r="BS17" s="2">
        <f t="shared" si="45"/>
        <v>0</v>
      </c>
      <c r="BT17" s="2">
        <f t="shared" si="46"/>
        <v>0</v>
      </c>
      <c r="BU17" s="2">
        <f t="shared" si="47"/>
        <v>0</v>
      </c>
      <c r="CS17" s="47">
        <v>41745</v>
      </c>
      <c r="CT17" s="41"/>
      <c r="CU17" s="45"/>
      <c r="CV17" s="40" t="str">
        <f>IF(CV16="1º Finalista",CV16,IF(CV16=CV8,CV8,IF(CV16=DA8,DA16,"1º Finalista")))</f>
        <v>Sport</v>
      </c>
      <c r="CW17" s="40"/>
      <c r="CX17" s="34"/>
      <c r="CY17" s="18" t="s">
        <v>22</v>
      </c>
      <c r="CZ17" s="34"/>
      <c r="DA17" s="44" t="str">
        <f>IF(DA16="2º Finalista",DA16,IF(CV16=CV8,DA16,IF(CV16=DA8,CV16,"1º Finalista")))</f>
        <v>Náutico</v>
      </c>
      <c r="DB17" s="45"/>
      <c r="DC17" s="43" t="str">
        <f>IF(CV17="Cental","Lacerdão",IF(CV17="Porto","Lacerdão",IF(CV17="Salgueiro","Cornélio de Barros",IF(CV17="Vitória-PE","Carneirão",IF(CV17="Serra Talhada","Nildo Pereira",IF(CV17="Ypiranga","Otávio Limeira",IF(CV17="América-PE","Ademir Cunha",IF(CV17="Chã Grande","Carneirão",IF(CV17="Pesqueira","Otávio Limeira",IF(CV17="Náutico","Arena Pernambuco",IF(CV17="Santa Cruz","Arruda",IF(CV17="Sport","Ilha Do Retiro","Estadio Indefinido"))))))))))))</f>
        <v>Ilha Do Retiro</v>
      </c>
      <c r="DD17" s="43"/>
      <c r="DE17" s="43"/>
      <c r="DH17" s="47">
        <v>41752</v>
      </c>
      <c r="DI17" s="41"/>
      <c r="DJ17" s="45"/>
      <c r="DK17" s="44" t="str">
        <f>DA17</f>
        <v>Náutico</v>
      </c>
      <c r="DL17" s="45"/>
      <c r="DM17" s="34"/>
      <c r="DN17" s="18" t="s">
        <v>22</v>
      </c>
      <c r="DO17" s="34"/>
      <c r="DP17" s="44" t="str">
        <f>CV17</f>
        <v>Sport</v>
      </c>
      <c r="DQ17" s="45"/>
      <c r="DR17" s="43" t="str">
        <f>IF(DK17="Cental","Lacerdão",IF(DK17="Porto","Lacerdão",IF(DK17="Salgueiro","Cornélio de Barros",IF(DK17="Vitória-PE","Carneirão",IF(DK17="Serra Talhada","Nildo Pereira",IF(DK17="Ypiranga","Otávio Limeira",IF(DK17="América-PE","Ademir Cunha",IF(DK17="Chã Grande","Carneirão",IF(DK17="Pesqueira","Otávio Limeira",IF(DK17="Náutico","Arena Pernambuco",IF(DK17="Santa Cruz","Arruda",IF(DK17="Sport","Ilha Do Retiro","Estadio Indefinido"))))))))))))</f>
        <v>Arena Pernambuco</v>
      </c>
      <c r="DS17" s="43"/>
      <c r="DT17" s="43"/>
      <c r="DV17" s="54"/>
      <c r="DW17" s="55"/>
      <c r="DX17" s="54"/>
      <c r="DY17" s="55"/>
      <c r="EA17" s="28" t="str">
        <f>IF(CX17="","",IF(CX17&gt;CZ17,3,IF(CZ17&gt;CX17,0,IF(CX17=CZ17,1))))</f>
        <v/>
      </c>
      <c r="EB17" s="28" t="str">
        <f>IF(CX17="","",IF(CX17&lt;CZ17,3,IF(CZ17&lt;CX17,0,IF(CX17=CZ17,1))))</f>
        <v/>
      </c>
      <c r="EC17" s="28" t="str">
        <f>IF(DO17="","",IF(DO17&gt;DM17,3,IF(DM17&gt;DO17,0,IF(DO17=DM17,1))))</f>
        <v/>
      </c>
      <c r="ED17" s="28" t="str">
        <f>IF(DO17="","",IF(DO17&lt;DM17,3,IF(DM17&lt;DO17,0,IF(DO17=DM17,1))))</f>
        <v/>
      </c>
    </row>
    <row r="18" spans="1:134">
      <c r="M18" s="7">
        <f t="shared" si="27"/>
        <v>1</v>
      </c>
      <c r="N18" s="3" t="s">
        <v>19</v>
      </c>
      <c r="O18" s="37">
        <v>0</v>
      </c>
      <c r="P18" s="3" t="s">
        <v>22</v>
      </c>
      <c r="Q18" s="37">
        <v>0</v>
      </c>
      <c r="R18" s="3" t="s">
        <v>15</v>
      </c>
      <c r="S18" s="8">
        <f t="shared" si="28"/>
        <v>1</v>
      </c>
      <c r="T18" s="2">
        <f t="shared" si="29"/>
        <v>0</v>
      </c>
      <c r="U18" s="2">
        <f t="shared" si="30"/>
        <v>0</v>
      </c>
      <c r="V18" s="2">
        <f t="shared" si="31"/>
        <v>1</v>
      </c>
      <c r="W18" s="2">
        <f t="shared" si="32"/>
        <v>1</v>
      </c>
      <c r="X18" s="2">
        <f t="shared" si="33"/>
        <v>0</v>
      </c>
      <c r="Y18" s="2">
        <f t="shared" si="34"/>
        <v>0</v>
      </c>
      <c r="AP18" s="62">
        <v>41619</v>
      </c>
      <c r="AQ18" s="43"/>
      <c r="AR18" s="43" t="s">
        <v>53</v>
      </c>
      <c r="AS18" s="43"/>
      <c r="AW18" s="59" t="str">
        <f>IF(SUM(AZ7:AZ12)=60,"Classificados","G4 Neste Momento")</f>
        <v>Classificados</v>
      </c>
      <c r="AX18" s="78"/>
      <c r="AY18" s="44" t="str">
        <f>AX7</f>
        <v>Náutico</v>
      </c>
      <c r="AZ18" s="45"/>
      <c r="BA18" s="44" t="str">
        <f>AX8</f>
        <v>Sport</v>
      </c>
      <c r="BB18" s="45"/>
      <c r="BC18" s="44" t="str">
        <f>AX9</f>
        <v>Santa Cruz</v>
      </c>
      <c r="BD18" s="41"/>
      <c r="BE18" s="43" t="str">
        <f>AX10</f>
        <v>Salgueiro</v>
      </c>
      <c r="BF18" s="43"/>
      <c r="BI18" s="7" t="str">
        <f t="shared" si="41"/>
        <v/>
      </c>
      <c r="BJ18" s="80" t="s">
        <v>25</v>
      </c>
      <c r="BK18" s="57"/>
      <c r="BL18" s="57"/>
      <c r="BM18" s="57"/>
      <c r="BN18" s="58"/>
      <c r="BO18" s="7" t="str">
        <f t="shared" si="51"/>
        <v/>
      </c>
      <c r="BP18" s="2">
        <f t="shared" si="42"/>
        <v>0</v>
      </c>
      <c r="BQ18" s="2">
        <f t="shared" si="43"/>
        <v>0</v>
      </c>
      <c r="BR18" s="2">
        <f t="shared" si="44"/>
        <v>0</v>
      </c>
      <c r="BS18" s="2">
        <f t="shared" si="45"/>
        <v>0</v>
      </c>
      <c r="BT18" s="2">
        <f t="shared" si="46"/>
        <v>0</v>
      </c>
      <c r="BU18" s="2">
        <f t="shared" si="47"/>
        <v>0</v>
      </c>
      <c r="CR18" s="8"/>
      <c r="CS18" s="31"/>
      <c r="CT18" s="32"/>
      <c r="CU18" s="32"/>
      <c r="CV18" s="32"/>
      <c r="CW18" s="32"/>
      <c r="CX18" s="32">
        <f>SUM(DV17,EA17,EC17)</f>
        <v>0</v>
      </c>
      <c r="CY18" s="32"/>
      <c r="CZ18" s="32">
        <f>SUM(DX17,EB17,ED17)</f>
        <v>0</v>
      </c>
      <c r="DA18" s="32"/>
      <c r="DB18" s="32"/>
      <c r="DC18" s="32"/>
      <c r="DD18" s="32"/>
      <c r="DE18" s="32"/>
      <c r="DF18" s="8"/>
      <c r="DG18" s="8"/>
      <c r="DH18" s="31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7"/>
      <c r="DV18" s="7"/>
      <c r="DW18" s="7"/>
      <c r="DX18" s="7"/>
      <c r="DY18" s="7"/>
      <c r="DZ18" s="7"/>
      <c r="EA18" s="7"/>
      <c r="EB18" s="7"/>
      <c r="EC18" s="7"/>
      <c r="ED18" s="7"/>
    </row>
    <row r="19" spans="1:134">
      <c r="A19" s="42" t="s">
        <v>60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M19" s="7" t="str">
        <f t="shared" si="27"/>
        <v/>
      </c>
      <c r="S19" s="8" t="str">
        <f t="shared" si="28"/>
        <v/>
      </c>
      <c r="T19" s="2">
        <f t="shared" si="29"/>
        <v>0</v>
      </c>
      <c r="U19" s="2">
        <f t="shared" si="30"/>
        <v>0</v>
      </c>
      <c r="V19" s="2">
        <f t="shared" si="31"/>
        <v>0</v>
      </c>
      <c r="W19" s="2">
        <f t="shared" si="32"/>
        <v>0</v>
      </c>
      <c r="X19" s="2">
        <f t="shared" si="33"/>
        <v>0</v>
      </c>
      <c r="Y19" s="2">
        <f t="shared" si="34"/>
        <v>0</v>
      </c>
      <c r="BA19" s="75"/>
      <c r="BB19" s="75"/>
      <c r="BC19" s="75"/>
      <c r="BD19" s="75"/>
      <c r="BE19" s="79"/>
      <c r="BI19" s="7">
        <f t="shared" si="41"/>
        <v>1</v>
      </c>
      <c r="BJ19" s="11" t="str">
        <f>BN14</f>
        <v>Salgueiro</v>
      </c>
      <c r="BK19" s="34">
        <v>0</v>
      </c>
      <c r="BL19" s="11" t="s">
        <v>22</v>
      </c>
      <c r="BM19" s="34">
        <v>0</v>
      </c>
      <c r="BN19" s="11" t="str">
        <f>BJ16</f>
        <v>Central</v>
      </c>
      <c r="BO19" s="7">
        <f t="shared" si="51"/>
        <v>1</v>
      </c>
      <c r="BP19" s="2">
        <f t="shared" si="42"/>
        <v>0</v>
      </c>
      <c r="BQ19" s="2">
        <f t="shared" si="43"/>
        <v>0</v>
      </c>
      <c r="BR19" s="2">
        <f t="shared" si="44"/>
        <v>1</v>
      </c>
      <c r="BS19" s="2">
        <f t="shared" si="45"/>
        <v>1</v>
      </c>
      <c r="BT19" s="2">
        <f t="shared" si="46"/>
        <v>0</v>
      </c>
      <c r="BU19" s="2">
        <f t="shared" si="47"/>
        <v>0</v>
      </c>
      <c r="CL19" s="62">
        <v>41686</v>
      </c>
      <c r="CM19" s="43"/>
      <c r="CN19" s="43" t="str">
        <f t="shared" ref="CN19" si="58">IF(BJ19="Central","Lacerdão",IF(BJ19="Porto","Lacerdão",IF(BJ19="Salgueiro","Cornélio de Barros",IF(BJ19="Vitória-PE","Carneirão",IF(BJ19="Serra Talhada","Nildo Pereira",IF(BJ19="Ypiranga","Otávio Limeira",IF(BJ19="América-PE","Ademir Cunha",IF(BJ19="Chã Grande","Carneirão",IF(BJ19="Pesqueira","Otávio Limeira","Estadio Indefinido")))))))))</f>
        <v>Cornélio de Barros</v>
      </c>
      <c r="CO19" s="43"/>
      <c r="CR19" s="51" t="s">
        <v>82</v>
      </c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</row>
    <row r="20" spans="1:134" ht="15" customHeight="1">
      <c r="M20" s="7" t="str">
        <f t="shared" si="27"/>
        <v/>
      </c>
      <c r="N20" s="80" t="s">
        <v>25</v>
      </c>
      <c r="O20" s="57"/>
      <c r="P20" s="57"/>
      <c r="Q20" s="57"/>
      <c r="R20" s="58"/>
      <c r="S20" s="8" t="str">
        <f t="shared" si="28"/>
        <v/>
      </c>
      <c r="T20" s="2">
        <f t="shared" si="29"/>
        <v>0</v>
      </c>
      <c r="U20" s="2">
        <f t="shared" si="30"/>
        <v>0</v>
      </c>
      <c r="V20" s="2">
        <f t="shared" si="31"/>
        <v>0</v>
      </c>
      <c r="W20" s="2">
        <f t="shared" si="32"/>
        <v>0</v>
      </c>
      <c r="X20" s="2">
        <f t="shared" si="33"/>
        <v>0</v>
      </c>
      <c r="Y20" s="2">
        <f t="shared" si="34"/>
        <v>0</v>
      </c>
      <c r="AW20" s="59" t="s">
        <v>61</v>
      </c>
      <c r="AX20" s="60"/>
      <c r="AY20" s="60"/>
      <c r="AZ20" s="43">
        <f>MAX(BA7:BA12)</f>
        <v>6</v>
      </c>
      <c r="BA20" s="43"/>
      <c r="BI20" s="7">
        <f t="shared" si="41"/>
        <v>1</v>
      </c>
      <c r="BJ20" s="11" t="s">
        <v>70</v>
      </c>
      <c r="BK20" s="34">
        <v>0</v>
      </c>
      <c r="BL20" s="11" t="s">
        <v>22</v>
      </c>
      <c r="BM20" s="34">
        <v>0</v>
      </c>
      <c r="BN20" s="11" t="s">
        <v>72</v>
      </c>
      <c r="BO20" s="7">
        <f t="shared" si="51"/>
        <v>1</v>
      </c>
      <c r="BP20" s="2">
        <f t="shared" si="42"/>
        <v>0</v>
      </c>
      <c r="BQ20" s="2">
        <f t="shared" si="43"/>
        <v>0</v>
      </c>
      <c r="BR20" s="2">
        <f t="shared" si="44"/>
        <v>1</v>
      </c>
      <c r="BS20" s="2">
        <f t="shared" si="45"/>
        <v>1</v>
      </c>
      <c r="BT20" s="2">
        <f t="shared" si="46"/>
        <v>0</v>
      </c>
      <c r="BU20" s="2">
        <f t="shared" si="47"/>
        <v>0</v>
      </c>
      <c r="CL20" s="62">
        <v>41689</v>
      </c>
      <c r="CM20" s="43"/>
      <c r="CN20" s="43" t="s">
        <v>73</v>
      </c>
      <c r="CO20" s="43"/>
    </row>
    <row r="21" spans="1:134" ht="15" customHeight="1">
      <c r="B21" s="59" t="str">
        <f>IF(SUM(D7:D15)=144,"Classificados","G3 Neste Momento")</f>
        <v>Classificados</v>
      </c>
      <c r="C21" s="78"/>
      <c r="D21" s="44" t="str">
        <f>B7</f>
        <v>Salgueiro</v>
      </c>
      <c r="E21" s="45"/>
      <c r="F21" s="44" t="str">
        <f>B8</f>
        <v>Central</v>
      </c>
      <c r="G21" s="45"/>
      <c r="H21" s="44" t="str">
        <f>B9</f>
        <v>Porto</v>
      </c>
      <c r="I21" s="41"/>
      <c r="J21" s="45"/>
      <c r="M21" s="7">
        <f t="shared" si="27"/>
        <v>0</v>
      </c>
      <c r="N21" s="3" t="s">
        <v>24</v>
      </c>
      <c r="O21" s="37">
        <v>0</v>
      </c>
      <c r="P21" s="3" t="s">
        <v>22</v>
      </c>
      <c r="Q21" s="37">
        <v>1</v>
      </c>
      <c r="R21" s="3" t="s">
        <v>20</v>
      </c>
      <c r="S21" s="8">
        <f t="shared" si="28"/>
        <v>3</v>
      </c>
      <c r="T21" s="2">
        <f t="shared" si="29"/>
        <v>0</v>
      </c>
      <c r="U21" s="2">
        <f t="shared" si="30"/>
        <v>1</v>
      </c>
      <c r="V21" s="2">
        <f t="shared" si="31"/>
        <v>0</v>
      </c>
      <c r="W21" s="2">
        <f t="shared" si="32"/>
        <v>0</v>
      </c>
      <c r="X21" s="2">
        <f t="shared" si="33"/>
        <v>1</v>
      </c>
      <c r="Y21" s="2">
        <f t="shared" si="34"/>
        <v>0</v>
      </c>
      <c r="AP21" s="62">
        <v>41623</v>
      </c>
      <c r="AQ21" s="43"/>
      <c r="AR21" s="43" t="s">
        <v>55</v>
      </c>
      <c r="AS21" s="43"/>
      <c r="AW21" s="59" t="s">
        <v>62</v>
      </c>
      <c r="AX21" s="60"/>
      <c r="AY21" s="60"/>
      <c r="AZ21" s="43">
        <f>MAX(BB7:BB12)</f>
        <v>4</v>
      </c>
      <c r="BA21" s="43"/>
      <c r="BI21" s="7">
        <f t="shared" si="41"/>
        <v>0</v>
      </c>
      <c r="BJ21" s="11" t="str">
        <f>BJ15</f>
        <v>Porto</v>
      </c>
      <c r="BK21" s="34">
        <v>0</v>
      </c>
      <c r="BL21" s="11" t="s">
        <v>22</v>
      </c>
      <c r="BM21" s="34">
        <v>2</v>
      </c>
      <c r="BN21" s="11" t="s">
        <v>71</v>
      </c>
      <c r="BO21" s="7">
        <f t="shared" si="51"/>
        <v>3</v>
      </c>
      <c r="BP21" s="2">
        <f>IF(BI21=3,1,0)</f>
        <v>0</v>
      </c>
      <c r="BQ21" s="2">
        <f t="shared" si="43"/>
        <v>1</v>
      </c>
      <c r="BR21" s="2">
        <f t="shared" si="44"/>
        <v>0</v>
      </c>
      <c r="BS21" s="2">
        <f t="shared" si="45"/>
        <v>0</v>
      </c>
      <c r="BT21" s="2">
        <f t="shared" si="46"/>
        <v>1</v>
      </c>
      <c r="BU21" s="2">
        <f t="shared" si="47"/>
        <v>0</v>
      </c>
      <c r="CL21" s="62">
        <v>41689</v>
      </c>
      <c r="CM21" s="43"/>
      <c r="CN21" s="43" t="str">
        <f t="shared" ref="CN21" si="59">IF(BJ21="Central","Lacerdão",IF(BJ21="Porto","Lacerdão",IF(BJ21="Salgueiro","Cornélio de Barros",IF(BJ21="Vitória-PE","Carneirão",IF(BJ21="Serra Talhada","Nildo Pereira",IF(BJ21="Ypiranga","Otávio Limeira",IF(BJ21="América-PE","Ademir Cunha",IF(BJ21="Chã Grande","Carneirão",IF(BJ21="Pesqueira","Otávio Limeira","Estadio Indefinido")))))))))</f>
        <v>Lacerdão</v>
      </c>
      <c r="CO21" s="43"/>
      <c r="DC21" s="63" t="str">
        <f>IF(DO17="","",IF(CX18&gt;CZ18,CV17,IF(CZ18&gt;CX18,DA17,IF(CX18=CZ18,""))))</f>
        <v/>
      </c>
      <c r="DD21" s="64"/>
      <c r="DE21" s="64"/>
      <c r="DF21" s="64"/>
      <c r="DG21" s="64"/>
      <c r="DH21" s="64"/>
      <c r="DI21" s="64"/>
      <c r="DJ21" s="65"/>
    </row>
    <row r="22" spans="1:134">
      <c r="F22" s="75"/>
      <c r="G22" s="75"/>
      <c r="H22" s="75"/>
      <c r="I22" s="75"/>
      <c r="J22" s="75"/>
      <c r="M22" s="7">
        <f t="shared" si="27"/>
        <v>1</v>
      </c>
      <c r="N22" s="3" t="s">
        <v>18</v>
      </c>
      <c r="O22" s="37">
        <v>1</v>
      </c>
      <c r="P22" s="3" t="s">
        <v>22</v>
      </c>
      <c r="Q22" s="37">
        <v>1</v>
      </c>
      <c r="R22" s="3" t="s">
        <v>16</v>
      </c>
      <c r="S22" s="8">
        <f t="shared" si="28"/>
        <v>1</v>
      </c>
      <c r="T22" s="2">
        <f t="shared" si="29"/>
        <v>0</v>
      </c>
      <c r="U22" s="2">
        <f t="shared" si="30"/>
        <v>0</v>
      </c>
      <c r="V22" s="2">
        <f t="shared" si="31"/>
        <v>1</v>
      </c>
      <c r="W22" s="2">
        <f t="shared" si="32"/>
        <v>1</v>
      </c>
      <c r="X22" s="2">
        <f t="shared" si="33"/>
        <v>0</v>
      </c>
      <c r="Y22" s="2">
        <f t="shared" si="34"/>
        <v>0</v>
      </c>
      <c r="AP22" s="62">
        <v>41623</v>
      </c>
      <c r="AQ22" s="43"/>
      <c r="AR22" s="43" t="s">
        <v>53</v>
      </c>
      <c r="AS22" s="43"/>
      <c r="AW22" s="59" t="s">
        <v>63</v>
      </c>
      <c r="AX22" s="60"/>
      <c r="AY22" s="60"/>
      <c r="AZ22" s="43">
        <f>MAX(BC7:BC12)</f>
        <v>9</v>
      </c>
      <c r="BA22" s="43"/>
      <c r="BI22" s="7" t="str">
        <f t="shared" si="41"/>
        <v/>
      </c>
      <c r="BO22" s="7" t="str">
        <f t="shared" si="51"/>
        <v/>
      </c>
      <c r="BP22" s="2">
        <f t="shared" si="42"/>
        <v>0</v>
      </c>
      <c r="BQ22" s="2">
        <f t="shared" si="43"/>
        <v>0</v>
      </c>
      <c r="BR22" s="2">
        <f t="shared" si="44"/>
        <v>0</v>
      </c>
      <c r="BS22" s="2">
        <f t="shared" si="45"/>
        <v>0</v>
      </c>
      <c r="BT22" s="2">
        <f t="shared" si="46"/>
        <v>0</v>
      </c>
      <c r="BU22" s="2">
        <f t="shared" si="47"/>
        <v>0</v>
      </c>
      <c r="DC22" s="66"/>
      <c r="DD22" s="67"/>
      <c r="DE22" s="67"/>
      <c r="DF22" s="67"/>
      <c r="DG22" s="67"/>
      <c r="DH22" s="67"/>
      <c r="DI22" s="67"/>
      <c r="DJ22" s="68"/>
    </row>
    <row r="23" spans="1:134">
      <c r="B23" s="73" t="s">
        <v>61</v>
      </c>
      <c r="C23" s="73"/>
      <c r="D23" s="43">
        <f>MAX(E7:E15)</f>
        <v>11</v>
      </c>
      <c r="E23" s="43"/>
      <c r="M23" s="7">
        <f t="shared" si="27"/>
        <v>3</v>
      </c>
      <c r="N23" s="3" t="s">
        <v>15</v>
      </c>
      <c r="O23" s="37">
        <v>2</v>
      </c>
      <c r="P23" s="3" t="s">
        <v>22</v>
      </c>
      <c r="Q23" s="37">
        <v>1</v>
      </c>
      <c r="R23" s="3" t="s">
        <v>14</v>
      </c>
      <c r="S23" s="8">
        <f t="shared" si="28"/>
        <v>0</v>
      </c>
      <c r="T23" s="2">
        <f t="shared" si="29"/>
        <v>1</v>
      </c>
      <c r="U23" s="2">
        <f t="shared" si="30"/>
        <v>0</v>
      </c>
      <c r="V23" s="2">
        <f t="shared" si="31"/>
        <v>0</v>
      </c>
      <c r="W23" s="2">
        <f t="shared" si="32"/>
        <v>0</v>
      </c>
      <c r="X23" s="2">
        <f t="shared" si="33"/>
        <v>0</v>
      </c>
      <c r="Y23" s="2">
        <f t="shared" si="34"/>
        <v>1</v>
      </c>
      <c r="AP23" s="62">
        <v>41623</v>
      </c>
      <c r="AQ23" s="43"/>
      <c r="AR23" s="43" t="s">
        <v>52</v>
      </c>
      <c r="AS23" s="43"/>
      <c r="AW23" s="59" t="s">
        <v>64</v>
      </c>
      <c r="AX23" s="60"/>
      <c r="AY23" s="60"/>
      <c r="AZ23" s="43">
        <f>MAX(BD7:BD12)</f>
        <v>23</v>
      </c>
      <c r="BA23" s="43"/>
      <c r="BI23" s="7" t="str">
        <f t="shared" si="41"/>
        <v/>
      </c>
      <c r="BJ23" s="80" t="s">
        <v>26</v>
      </c>
      <c r="BK23" s="57"/>
      <c r="BL23" s="57"/>
      <c r="BM23" s="57"/>
      <c r="BN23" s="58"/>
      <c r="BO23" s="7" t="str">
        <f t="shared" si="51"/>
        <v/>
      </c>
      <c r="BP23" s="2">
        <f t="shared" si="42"/>
        <v>0</v>
      </c>
      <c r="BQ23" s="2">
        <f t="shared" si="43"/>
        <v>0</v>
      </c>
      <c r="BR23" s="2">
        <f t="shared" si="44"/>
        <v>0</v>
      </c>
      <c r="BS23" s="2">
        <f t="shared" si="45"/>
        <v>0</v>
      </c>
      <c r="BT23" s="2">
        <f t="shared" si="46"/>
        <v>0</v>
      </c>
      <c r="BU23" s="2">
        <f t="shared" si="47"/>
        <v>0</v>
      </c>
      <c r="DC23" s="66"/>
      <c r="DD23" s="67"/>
      <c r="DE23" s="67"/>
      <c r="DF23" s="67"/>
      <c r="DG23" s="67"/>
      <c r="DH23" s="67"/>
      <c r="DI23" s="67"/>
      <c r="DJ23" s="68"/>
    </row>
    <row r="24" spans="1:134">
      <c r="B24" s="59" t="s">
        <v>62</v>
      </c>
      <c r="C24" s="78"/>
      <c r="D24" s="44">
        <f>MAX(F7:F15)</f>
        <v>7</v>
      </c>
      <c r="E24" s="45"/>
      <c r="M24" s="7">
        <f t="shared" si="27"/>
        <v>3</v>
      </c>
      <c r="N24" s="3" t="s">
        <v>48</v>
      </c>
      <c r="O24" s="37">
        <v>1</v>
      </c>
      <c r="P24" s="3" t="s">
        <v>22</v>
      </c>
      <c r="Q24" s="37">
        <v>0</v>
      </c>
      <c r="R24" s="3" t="s">
        <v>19</v>
      </c>
      <c r="S24" s="8">
        <f t="shared" si="28"/>
        <v>0</v>
      </c>
      <c r="T24" s="2">
        <f t="shared" si="29"/>
        <v>1</v>
      </c>
      <c r="U24" s="2">
        <f t="shared" si="30"/>
        <v>0</v>
      </c>
      <c r="V24" s="2">
        <f t="shared" si="31"/>
        <v>0</v>
      </c>
      <c r="W24" s="2">
        <f t="shared" si="32"/>
        <v>0</v>
      </c>
      <c r="X24" s="2">
        <f t="shared" si="33"/>
        <v>0</v>
      </c>
      <c r="Y24" s="2">
        <f t="shared" si="34"/>
        <v>1</v>
      </c>
      <c r="AP24" s="62">
        <v>41623</v>
      </c>
      <c r="AQ24" s="43"/>
      <c r="AR24" s="43" t="s">
        <v>51</v>
      </c>
      <c r="AS24" s="43"/>
      <c r="AW24" s="59" t="s">
        <v>65</v>
      </c>
      <c r="AX24" s="60"/>
      <c r="AY24" s="60"/>
      <c r="AZ24" s="43">
        <f>SUM(BD7:BD12)</f>
        <v>85</v>
      </c>
      <c r="BA24" s="43"/>
      <c r="BI24" s="7">
        <f t="shared" si="41"/>
        <v>1</v>
      </c>
      <c r="BJ24" s="11" t="s">
        <v>71</v>
      </c>
      <c r="BK24" s="34">
        <v>1</v>
      </c>
      <c r="BL24" s="11" t="s">
        <v>22</v>
      </c>
      <c r="BM24" s="34">
        <v>1</v>
      </c>
      <c r="BN24" s="11" t="str">
        <f>BN19</f>
        <v>Central</v>
      </c>
      <c r="BO24" s="7">
        <f t="shared" si="51"/>
        <v>1</v>
      </c>
      <c r="BP24" s="2">
        <f t="shared" si="42"/>
        <v>0</v>
      </c>
      <c r="BQ24" s="2">
        <f t="shared" si="43"/>
        <v>0</v>
      </c>
      <c r="BR24" s="2">
        <f t="shared" si="44"/>
        <v>1</v>
      </c>
      <c r="BS24" s="2">
        <f t="shared" si="45"/>
        <v>1</v>
      </c>
      <c r="BT24" s="2">
        <f t="shared" si="46"/>
        <v>0</v>
      </c>
      <c r="BU24" s="2">
        <f t="shared" si="47"/>
        <v>0</v>
      </c>
      <c r="CL24" s="62">
        <v>41692</v>
      </c>
      <c r="CM24" s="43"/>
      <c r="CN24" s="43" t="s">
        <v>75</v>
      </c>
      <c r="CO24" s="43"/>
      <c r="DC24" s="66"/>
      <c r="DD24" s="67"/>
      <c r="DE24" s="67"/>
      <c r="DF24" s="67"/>
      <c r="DG24" s="67"/>
      <c r="DH24" s="67"/>
      <c r="DI24" s="67"/>
      <c r="DJ24" s="68"/>
    </row>
    <row r="25" spans="1:134">
      <c r="B25" s="59" t="s">
        <v>63</v>
      </c>
      <c r="C25" s="78"/>
      <c r="D25" s="44">
        <f>MAX(G7:G15)</f>
        <v>10</v>
      </c>
      <c r="E25" s="45"/>
      <c r="M25" s="7" t="str">
        <f t="shared" si="27"/>
        <v/>
      </c>
      <c r="S25" s="8" t="str">
        <f t="shared" si="28"/>
        <v/>
      </c>
      <c r="T25" s="2">
        <f t="shared" si="29"/>
        <v>0</v>
      </c>
      <c r="U25" s="2">
        <f t="shared" si="30"/>
        <v>0</v>
      </c>
      <c r="V25" s="2">
        <f t="shared" si="31"/>
        <v>0</v>
      </c>
      <c r="W25" s="2">
        <f t="shared" si="32"/>
        <v>0</v>
      </c>
      <c r="X25" s="2">
        <f t="shared" si="33"/>
        <v>0</v>
      </c>
      <c r="Y25" s="2">
        <f t="shared" si="34"/>
        <v>0</v>
      </c>
      <c r="AW25" s="59" t="s">
        <v>66</v>
      </c>
      <c r="AX25" s="60"/>
      <c r="AY25" s="60"/>
      <c r="AZ25" s="56">
        <f>SUM(AZ7:AZ12)</f>
        <v>60</v>
      </c>
      <c r="BA25" s="56"/>
      <c r="BI25" s="7">
        <f t="shared" si="41"/>
        <v>3</v>
      </c>
      <c r="BJ25" s="11" t="s">
        <v>72</v>
      </c>
      <c r="BK25" s="34">
        <v>3</v>
      </c>
      <c r="BL25" s="11" t="s">
        <v>22</v>
      </c>
      <c r="BM25" s="34">
        <v>0</v>
      </c>
      <c r="BN25" s="11" t="str">
        <f>BJ21</f>
        <v>Porto</v>
      </c>
      <c r="BO25" s="7">
        <f t="shared" si="51"/>
        <v>0</v>
      </c>
      <c r="BP25" s="2">
        <f t="shared" si="42"/>
        <v>1</v>
      </c>
      <c r="BQ25" s="2">
        <f t="shared" si="43"/>
        <v>0</v>
      </c>
      <c r="BR25" s="2">
        <f t="shared" si="44"/>
        <v>0</v>
      </c>
      <c r="BS25" s="2">
        <f t="shared" si="45"/>
        <v>0</v>
      </c>
      <c r="BT25" s="2">
        <f t="shared" si="46"/>
        <v>0</v>
      </c>
      <c r="BU25" s="2">
        <f t="shared" si="47"/>
        <v>1</v>
      </c>
      <c r="CL25" s="62">
        <v>41693</v>
      </c>
      <c r="CM25" s="43"/>
      <c r="CN25" s="43" t="s">
        <v>74</v>
      </c>
      <c r="CO25" s="43"/>
      <c r="DC25" s="69"/>
      <c r="DD25" s="70"/>
      <c r="DE25" s="70"/>
      <c r="DF25" s="70"/>
      <c r="DG25" s="70"/>
      <c r="DH25" s="70"/>
      <c r="DI25" s="70"/>
      <c r="DJ25" s="71"/>
    </row>
    <row r="26" spans="1:134">
      <c r="B26" s="59" t="s">
        <v>64</v>
      </c>
      <c r="C26" s="78"/>
      <c r="D26" s="44">
        <f>MAX(H7:H15)</f>
        <v>29</v>
      </c>
      <c r="E26" s="45"/>
      <c r="M26" s="7" t="str">
        <f t="shared" si="27"/>
        <v/>
      </c>
      <c r="N26" s="80" t="s">
        <v>26</v>
      </c>
      <c r="O26" s="57"/>
      <c r="P26" s="57"/>
      <c r="Q26" s="57"/>
      <c r="R26" s="58"/>
      <c r="S26" s="8" t="str">
        <f t="shared" si="28"/>
        <v/>
      </c>
      <c r="T26" s="2">
        <f t="shared" si="29"/>
        <v>0</v>
      </c>
      <c r="U26" s="2">
        <f t="shared" si="30"/>
        <v>0</v>
      </c>
      <c r="V26" s="2">
        <f t="shared" si="31"/>
        <v>0</v>
      </c>
      <c r="W26" s="2">
        <f t="shared" si="32"/>
        <v>0</v>
      </c>
      <c r="X26" s="2">
        <f t="shared" si="33"/>
        <v>0</v>
      </c>
      <c r="Y26" s="2">
        <f t="shared" si="34"/>
        <v>0</v>
      </c>
      <c r="BI26" s="7">
        <f t="shared" si="41"/>
        <v>1</v>
      </c>
      <c r="BJ26" s="11" t="str">
        <f>BJ19</f>
        <v>Salgueiro</v>
      </c>
      <c r="BK26" s="34">
        <v>1</v>
      </c>
      <c r="BL26" s="11" t="s">
        <v>22</v>
      </c>
      <c r="BM26" s="34">
        <v>1</v>
      </c>
      <c r="BN26" s="11" t="s">
        <v>70</v>
      </c>
      <c r="BO26" s="7">
        <f t="shared" si="51"/>
        <v>1</v>
      </c>
      <c r="BP26" s="2">
        <f t="shared" si="42"/>
        <v>0</v>
      </c>
      <c r="BQ26" s="2">
        <f t="shared" si="43"/>
        <v>0</v>
      </c>
      <c r="BR26" s="2">
        <f t="shared" si="44"/>
        <v>1</v>
      </c>
      <c r="BS26" s="2">
        <f t="shared" si="45"/>
        <v>1</v>
      </c>
      <c r="BT26" s="2">
        <f t="shared" si="46"/>
        <v>0</v>
      </c>
      <c r="BU26" s="2">
        <f t="shared" si="47"/>
        <v>0</v>
      </c>
      <c r="CL26" s="62">
        <v>41693</v>
      </c>
      <c r="CM26" s="43"/>
      <c r="CN26" s="43" t="str">
        <f t="shared" ref="CN26" si="60">IF(BJ26="Central","Lacerdão",IF(BJ26="Porto","Lacerdão",IF(BJ26="Salgueiro","Cornélio de Barros",IF(BJ26="Vitória-PE","Carneirão",IF(BJ26="Serra Talhada","Nildo Pereira",IF(BJ26="Ypiranga","Otávio Limeira",IF(BJ26="América-PE","Ademir Cunha",IF(BJ26="Chã Grande","Carneirão",IF(BJ26="Pesqueira","Otávio Limeira","Estadio Indefinido")))))))))</f>
        <v>Cornélio de Barros</v>
      </c>
      <c r="CO26" s="43"/>
    </row>
    <row r="27" spans="1:134">
      <c r="B27" s="59" t="s">
        <v>65</v>
      </c>
      <c r="C27" s="78"/>
      <c r="D27" s="44">
        <f>SUM(H7:H15)</f>
        <v>152</v>
      </c>
      <c r="E27" s="45"/>
      <c r="M27" s="7">
        <f t="shared" si="27"/>
        <v>1</v>
      </c>
      <c r="N27" s="3" t="s">
        <v>14</v>
      </c>
      <c r="O27" s="37">
        <v>2</v>
      </c>
      <c r="P27" s="3" t="s">
        <v>22</v>
      </c>
      <c r="Q27" s="37">
        <v>2</v>
      </c>
      <c r="R27" s="3" t="s">
        <v>21</v>
      </c>
      <c r="S27" s="8">
        <f t="shared" si="28"/>
        <v>1</v>
      </c>
      <c r="T27" s="2">
        <f t="shared" si="29"/>
        <v>0</v>
      </c>
      <c r="U27" s="2">
        <f t="shared" si="30"/>
        <v>0</v>
      </c>
      <c r="V27" s="2">
        <f t="shared" si="31"/>
        <v>1</v>
      </c>
      <c r="W27" s="2">
        <f t="shared" si="32"/>
        <v>1</v>
      </c>
      <c r="X27" s="2">
        <f t="shared" si="33"/>
        <v>0</v>
      </c>
      <c r="Y27" s="2">
        <f t="shared" si="34"/>
        <v>0</v>
      </c>
      <c r="AP27" s="62">
        <v>41626</v>
      </c>
      <c r="AQ27" s="43"/>
      <c r="AR27" s="43" t="s">
        <v>51</v>
      </c>
      <c r="AS27" s="43"/>
      <c r="BI27" s="7" t="str">
        <f t="shared" si="41"/>
        <v/>
      </c>
      <c r="BO27" s="7" t="str">
        <f t="shared" si="51"/>
        <v/>
      </c>
      <c r="BP27" s="2">
        <f t="shared" si="42"/>
        <v>0</v>
      </c>
      <c r="BQ27" s="2">
        <f t="shared" si="43"/>
        <v>0</v>
      </c>
      <c r="BR27" s="2">
        <f t="shared" si="44"/>
        <v>0</v>
      </c>
      <c r="BS27" s="2">
        <f t="shared" si="45"/>
        <v>0</v>
      </c>
      <c r="BT27" s="2">
        <f t="shared" si="46"/>
        <v>0</v>
      </c>
      <c r="BU27" s="2">
        <f t="shared" si="47"/>
        <v>0</v>
      </c>
      <c r="CX27" s="63" t="str">
        <f>IF(DC21=CV17,DA17,IF(DC21=DA17,CV17,""))</f>
        <v/>
      </c>
      <c r="CY27" s="64"/>
      <c r="CZ27" s="64"/>
      <c r="DA27" s="64"/>
      <c r="DB27" s="64"/>
      <c r="DC27" s="65"/>
      <c r="DJ27" s="63" t="str">
        <f>IF(DO13="","",IF(CX14&gt;CZ14,CV13,IF(CZ14&gt;CX14,DA13,IF(CX14=CZ14,""))))</f>
        <v/>
      </c>
      <c r="DK27" s="64"/>
      <c r="DL27" s="64"/>
      <c r="DM27" s="64"/>
      <c r="DN27" s="64"/>
      <c r="DO27" s="65"/>
    </row>
    <row r="28" spans="1:134">
      <c r="B28" s="73" t="s">
        <v>83</v>
      </c>
      <c r="C28" s="73"/>
      <c r="D28" s="56">
        <f>SUM(D7:D15)</f>
        <v>144</v>
      </c>
      <c r="E28" s="56"/>
      <c r="M28" s="7">
        <f t="shared" si="27"/>
        <v>3</v>
      </c>
      <c r="N28" s="3" t="s">
        <v>16</v>
      </c>
      <c r="O28" s="37">
        <v>2</v>
      </c>
      <c r="P28" s="3" t="s">
        <v>22</v>
      </c>
      <c r="Q28" s="37">
        <v>1</v>
      </c>
      <c r="R28" s="3" t="s">
        <v>20</v>
      </c>
      <c r="S28" s="8">
        <f t="shared" si="28"/>
        <v>0</v>
      </c>
      <c r="T28" s="2">
        <f t="shared" si="29"/>
        <v>1</v>
      </c>
      <c r="U28" s="2">
        <f t="shared" si="30"/>
        <v>0</v>
      </c>
      <c r="V28" s="2">
        <f t="shared" si="31"/>
        <v>0</v>
      </c>
      <c r="W28" s="2">
        <f t="shared" si="32"/>
        <v>0</v>
      </c>
      <c r="X28" s="2">
        <f t="shared" si="33"/>
        <v>0</v>
      </c>
      <c r="Y28" s="2">
        <f t="shared" si="34"/>
        <v>1</v>
      </c>
      <c r="AP28" s="62">
        <v>41626</v>
      </c>
      <c r="AQ28" s="43"/>
      <c r="AR28" s="43" t="s">
        <v>55</v>
      </c>
      <c r="AS28" s="43"/>
      <c r="BI28" s="7" t="str">
        <f t="shared" si="41"/>
        <v/>
      </c>
      <c r="BJ28" s="80" t="s">
        <v>27</v>
      </c>
      <c r="BK28" s="57"/>
      <c r="BL28" s="57"/>
      <c r="BM28" s="57"/>
      <c r="BN28" s="58"/>
      <c r="BO28" s="7" t="str">
        <f t="shared" si="51"/>
        <v/>
      </c>
      <c r="BP28" s="2">
        <f t="shared" si="42"/>
        <v>0</v>
      </c>
      <c r="BQ28" s="2">
        <f t="shared" si="43"/>
        <v>0</v>
      </c>
      <c r="BR28" s="2">
        <f t="shared" si="44"/>
        <v>0</v>
      </c>
      <c r="BS28" s="2">
        <f t="shared" si="45"/>
        <v>0</v>
      </c>
      <c r="BT28" s="2">
        <f t="shared" si="46"/>
        <v>0</v>
      </c>
      <c r="BU28" s="2">
        <f t="shared" si="47"/>
        <v>0</v>
      </c>
      <c r="CX28" s="66"/>
      <c r="CY28" s="67"/>
      <c r="CZ28" s="67"/>
      <c r="DA28" s="67"/>
      <c r="DB28" s="67"/>
      <c r="DC28" s="68"/>
      <c r="DJ28" s="66"/>
      <c r="DK28" s="67"/>
      <c r="DL28" s="67"/>
      <c r="DM28" s="67"/>
      <c r="DN28" s="67"/>
      <c r="DO28" s="68"/>
    </row>
    <row r="29" spans="1:134">
      <c r="M29" s="7">
        <f t="shared" si="27"/>
        <v>3</v>
      </c>
      <c r="N29" s="3" t="s">
        <v>19</v>
      </c>
      <c r="O29" s="37">
        <v>1</v>
      </c>
      <c r="P29" s="3" t="s">
        <v>22</v>
      </c>
      <c r="Q29" s="37">
        <v>0</v>
      </c>
      <c r="R29" s="3" t="s">
        <v>24</v>
      </c>
      <c r="S29" s="8">
        <f t="shared" si="28"/>
        <v>0</v>
      </c>
      <c r="T29" s="2">
        <f t="shared" si="29"/>
        <v>1</v>
      </c>
      <c r="U29" s="2">
        <f t="shared" si="30"/>
        <v>0</v>
      </c>
      <c r="V29" s="2">
        <f t="shared" si="31"/>
        <v>0</v>
      </c>
      <c r="W29" s="2">
        <f t="shared" si="32"/>
        <v>0</v>
      </c>
      <c r="X29" s="2">
        <f t="shared" si="33"/>
        <v>0</v>
      </c>
      <c r="Y29" s="2">
        <f t="shared" si="34"/>
        <v>1</v>
      </c>
      <c r="AP29" s="62">
        <v>41627</v>
      </c>
      <c r="AQ29" s="43"/>
      <c r="AR29" s="43" t="s">
        <v>53</v>
      </c>
      <c r="AS29" s="43"/>
      <c r="BI29" s="7">
        <f t="shared" si="41"/>
        <v>3</v>
      </c>
      <c r="BJ29" s="11" t="str">
        <f>BN24</f>
        <v>Central</v>
      </c>
      <c r="BK29" s="34">
        <v>2</v>
      </c>
      <c r="BL29" s="11" t="s">
        <v>22</v>
      </c>
      <c r="BM29" s="34">
        <v>1</v>
      </c>
      <c r="BN29" s="11" t="str">
        <f>BN25</f>
        <v>Porto</v>
      </c>
      <c r="BO29" s="7">
        <f t="shared" si="51"/>
        <v>0</v>
      </c>
      <c r="BP29" s="2">
        <f t="shared" si="42"/>
        <v>1</v>
      </c>
      <c r="BQ29" s="2">
        <f t="shared" si="43"/>
        <v>0</v>
      </c>
      <c r="BR29" s="2">
        <f t="shared" si="44"/>
        <v>0</v>
      </c>
      <c r="BS29" s="2">
        <f t="shared" si="45"/>
        <v>0</v>
      </c>
      <c r="BT29" s="2">
        <f t="shared" si="46"/>
        <v>0</v>
      </c>
      <c r="BU29" s="2">
        <f t="shared" si="47"/>
        <v>1</v>
      </c>
      <c r="CL29" s="62">
        <v>41703</v>
      </c>
      <c r="CM29" s="43"/>
      <c r="CN29" s="43" t="str">
        <f t="shared" ref="CN29" si="61">IF(BJ29="Central","Lacerdão",IF(BJ29="Porto","Lacerdão",IF(BJ29="Salgueiro","Cornélio de Barros",IF(BJ29="Vitória-PE","Carneirão",IF(BJ29="Serra Talhada","Nildo Pereira",IF(BJ29="Ypiranga","Otávio Limeira",IF(BJ29="América-PE","Ademir Cunha",IF(BJ29="Chã Grande","Carneirão",IF(BJ29="Pesqueira","Otávio Limeira","Estadio Indefinido")))))))))</f>
        <v>Lacerdão</v>
      </c>
      <c r="CO29" s="43"/>
      <c r="CX29" s="66"/>
      <c r="CY29" s="67"/>
      <c r="CZ29" s="67"/>
      <c r="DA29" s="67"/>
      <c r="DB29" s="67"/>
      <c r="DC29" s="68"/>
      <c r="DJ29" s="66"/>
      <c r="DK29" s="67"/>
      <c r="DL29" s="67"/>
      <c r="DM29" s="67"/>
      <c r="DN29" s="67"/>
      <c r="DO29" s="68"/>
    </row>
    <row r="30" spans="1:134">
      <c r="M30" s="7">
        <f t="shared" si="27"/>
        <v>3</v>
      </c>
      <c r="N30" s="3" t="s">
        <v>18</v>
      </c>
      <c r="O30" s="37">
        <v>2</v>
      </c>
      <c r="P30" s="3" t="s">
        <v>22</v>
      </c>
      <c r="Q30" s="37">
        <v>1</v>
      </c>
      <c r="R30" s="3" t="s">
        <v>48</v>
      </c>
      <c r="S30" s="8">
        <f t="shared" si="28"/>
        <v>0</v>
      </c>
      <c r="T30" s="2">
        <f t="shared" si="29"/>
        <v>1</v>
      </c>
      <c r="U30" s="2">
        <f t="shared" si="30"/>
        <v>0</v>
      </c>
      <c r="V30" s="2">
        <f t="shared" si="31"/>
        <v>0</v>
      </c>
      <c r="W30" s="2">
        <f t="shared" si="32"/>
        <v>0</v>
      </c>
      <c r="X30" s="2">
        <f t="shared" si="33"/>
        <v>0</v>
      </c>
      <c r="Y30" s="2">
        <f t="shared" si="34"/>
        <v>1</v>
      </c>
      <c r="AP30" s="62">
        <v>41627</v>
      </c>
      <c r="AQ30" s="43"/>
      <c r="AR30" s="43" t="s">
        <v>53</v>
      </c>
      <c r="AS30" s="43"/>
      <c r="BI30" s="7">
        <f t="shared" si="41"/>
        <v>0</v>
      </c>
      <c r="BJ30" s="11" t="s">
        <v>72</v>
      </c>
      <c r="BK30" s="34">
        <v>0</v>
      </c>
      <c r="BL30" s="11" t="s">
        <v>22</v>
      </c>
      <c r="BM30" s="34">
        <v>2</v>
      </c>
      <c r="BN30" s="11" t="str">
        <f>BJ26</f>
        <v>Salgueiro</v>
      </c>
      <c r="BO30" s="7">
        <f t="shared" si="51"/>
        <v>3</v>
      </c>
      <c r="BP30" s="2">
        <f t="shared" si="42"/>
        <v>0</v>
      </c>
      <c r="BQ30" s="2">
        <f t="shared" si="43"/>
        <v>1</v>
      </c>
      <c r="BR30" s="2">
        <f t="shared" si="44"/>
        <v>0</v>
      </c>
      <c r="BS30" s="2">
        <f t="shared" si="45"/>
        <v>0</v>
      </c>
      <c r="BT30" s="2">
        <f t="shared" si="46"/>
        <v>1</v>
      </c>
      <c r="BU30" s="2">
        <f t="shared" si="47"/>
        <v>0</v>
      </c>
      <c r="CL30" s="62">
        <v>41703</v>
      </c>
      <c r="CM30" s="43"/>
      <c r="CN30" s="43" t="s">
        <v>74</v>
      </c>
      <c r="CO30" s="43"/>
      <c r="CX30" s="69"/>
      <c r="CY30" s="70"/>
      <c r="CZ30" s="70"/>
      <c r="DA30" s="70"/>
      <c r="DB30" s="70"/>
      <c r="DC30" s="71"/>
      <c r="DJ30" s="69"/>
      <c r="DK30" s="70"/>
      <c r="DL30" s="70"/>
      <c r="DM30" s="70"/>
      <c r="DN30" s="70"/>
      <c r="DO30" s="71"/>
    </row>
    <row r="31" spans="1:134">
      <c r="M31" s="7" t="str">
        <f t="shared" si="27"/>
        <v/>
      </c>
      <c r="S31" s="8" t="str">
        <f t="shared" si="28"/>
        <v/>
      </c>
      <c r="T31" s="2">
        <f t="shared" si="29"/>
        <v>0</v>
      </c>
      <c r="U31" s="2">
        <f t="shared" si="30"/>
        <v>0</v>
      </c>
      <c r="V31" s="2">
        <f t="shared" si="31"/>
        <v>0</v>
      </c>
      <c r="W31" s="2">
        <f t="shared" si="32"/>
        <v>0</v>
      </c>
      <c r="X31" s="2">
        <f t="shared" si="33"/>
        <v>0</v>
      </c>
      <c r="Y31" s="2">
        <f t="shared" si="34"/>
        <v>0</v>
      </c>
      <c r="BI31" s="7">
        <f t="shared" si="41"/>
        <v>3</v>
      </c>
      <c r="BJ31" s="11" t="s">
        <v>71</v>
      </c>
      <c r="BK31" s="34">
        <v>3</v>
      </c>
      <c r="BL31" s="11" t="s">
        <v>22</v>
      </c>
      <c r="BM31" s="34">
        <v>0</v>
      </c>
      <c r="BN31" s="11" t="s">
        <v>70</v>
      </c>
      <c r="BO31" s="7">
        <f t="shared" si="51"/>
        <v>0</v>
      </c>
      <c r="BP31" s="2">
        <f t="shared" si="42"/>
        <v>1</v>
      </c>
      <c r="BQ31" s="2">
        <f t="shared" si="43"/>
        <v>0</v>
      </c>
      <c r="BR31" s="2">
        <f t="shared" si="44"/>
        <v>0</v>
      </c>
      <c r="BS31" s="2">
        <f t="shared" si="45"/>
        <v>0</v>
      </c>
      <c r="BT31" s="2">
        <f t="shared" si="46"/>
        <v>0</v>
      </c>
      <c r="BU31" s="2">
        <f t="shared" si="47"/>
        <v>1</v>
      </c>
      <c r="CL31" s="62">
        <v>41704</v>
      </c>
      <c r="CM31" s="43"/>
      <c r="CN31" s="43" t="s">
        <v>75</v>
      </c>
      <c r="CO31" s="43"/>
    </row>
    <row r="32" spans="1:134">
      <c r="M32" s="7" t="str">
        <f t="shared" si="27"/>
        <v/>
      </c>
      <c r="N32" s="80" t="s">
        <v>27</v>
      </c>
      <c r="O32" s="57"/>
      <c r="P32" s="57"/>
      <c r="Q32" s="57"/>
      <c r="R32" s="58"/>
      <c r="S32" s="8" t="str">
        <f t="shared" si="28"/>
        <v/>
      </c>
      <c r="T32" s="2">
        <f t="shared" si="29"/>
        <v>0</v>
      </c>
      <c r="U32" s="2">
        <f t="shared" si="30"/>
        <v>0</v>
      </c>
      <c r="V32" s="2">
        <f t="shared" si="31"/>
        <v>0</v>
      </c>
      <c r="W32" s="2">
        <f t="shared" si="32"/>
        <v>0</v>
      </c>
      <c r="X32" s="2">
        <f t="shared" si="33"/>
        <v>0</v>
      </c>
      <c r="Y32" s="2">
        <f t="shared" si="34"/>
        <v>0</v>
      </c>
      <c r="BI32" s="7" t="str">
        <f t="shared" si="41"/>
        <v/>
      </c>
      <c r="BO32" s="7" t="str">
        <f t="shared" si="51"/>
        <v/>
      </c>
      <c r="BP32" s="2">
        <f t="shared" si="42"/>
        <v>0</v>
      </c>
      <c r="BQ32" s="2">
        <f t="shared" si="43"/>
        <v>0</v>
      </c>
      <c r="BR32" s="2">
        <f t="shared" si="44"/>
        <v>0</v>
      </c>
      <c r="BS32" s="2">
        <f t="shared" si="45"/>
        <v>0</v>
      </c>
      <c r="BT32" s="2">
        <f t="shared" si="46"/>
        <v>0</v>
      </c>
      <c r="BU32" s="2">
        <f t="shared" si="47"/>
        <v>0</v>
      </c>
    </row>
    <row r="33" spans="2:93">
      <c r="M33" s="7">
        <f t="shared" si="27"/>
        <v>0</v>
      </c>
      <c r="N33" s="3" t="s">
        <v>24</v>
      </c>
      <c r="O33" s="37">
        <v>1</v>
      </c>
      <c r="P33" s="3" t="s">
        <v>22</v>
      </c>
      <c r="Q33" s="37">
        <v>2</v>
      </c>
      <c r="R33" s="3" t="s">
        <v>14</v>
      </c>
      <c r="S33" s="8">
        <f t="shared" si="28"/>
        <v>3</v>
      </c>
      <c r="T33" s="2">
        <f t="shared" si="29"/>
        <v>0</v>
      </c>
      <c r="U33" s="2">
        <f t="shared" si="30"/>
        <v>1</v>
      </c>
      <c r="V33" s="2">
        <f t="shared" si="31"/>
        <v>0</v>
      </c>
      <c r="W33" s="2">
        <f t="shared" si="32"/>
        <v>0</v>
      </c>
      <c r="X33" s="2">
        <f t="shared" si="33"/>
        <v>1</v>
      </c>
      <c r="Y33" s="2">
        <f t="shared" si="34"/>
        <v>0</v>
      </c>
      <c r="AP33" s="62">
        <v>41630</v>
      </c>
      <c r="AQ33" s="43"/>
      <c r="AR33" s="43" t="s">
        <v>57</v>
      </c>
      <c r="AS33" s="43"/>
      <c r="BI33" s="7" t="str">
        <f t="shared" si="41"/>
        <v/>
      </c>
      <c r="BJ33" s="80" t="s">
        <v>28</v>
      </c>
      <c r="BK33" s="57"/>
      <c r="BL33" s="57"/>
      <c r="BM33" s="57"/>
      <c r="BN33" s="58"/>
      <c r="BO33" s="7" t="str">
        <f t="shared" si="51"/>
        <v/>
      </c>
      <c r="BP33" s="2">
        <f t="shared" si="42"/>
        <v>0</v>
      </c>
      <c r="BQ33" s="2">
        <f t="shared" si="43"/>
        <v>0</v>
      </c>
      <c r="BR33" s="2">
        <f t="shared" si="44"/>
        <v>0</v>
      </c>
      <c r="BS33" s="2">
        <f t="shared" si="45"/>
        <v>0</v>
      </c>
      <c r="BT33" s="2">
        <f t="shared" si="46"/>
        <v>0</v>
      </c>
      <c r="BU33" s="2">
        <f t="shared" si="47"/>
        <v>0</v>
      </c>
    </row>
    <row r="34" spans="2:93">
      <c r="M34" s="7">
        <f t="shared" si="27"/>
        <v>0</v>
      </c>
      <c r="N34" s="3" t="s">
        <v>20</v>
      </c>
      <c r="O34" s="37">
        <v>0</v>
      </c>
      <c r="P34" s="3" t="s">
        <v>22</v>
      </c>
      <c r="Q34" s="37">
        <v>1</v>
      </c>
      <c r="R34" s="3" t="s">
        <v>19</v>
      </c>
      <c r="S34" s="8">
        <f t="shared" si="28"/>
        <v>3</v>
      </c>
      <c r="T34" s="2">
        <f t="shared" si="29"/>
        <v>0</v>
      </c>
      <c r="U34" s="2">
        <f t="shared" si="30"/>
        <v>1</v>
      </c>
      <c r="V34" s="2">
        <f t="shared" si="31"/>
        <v>0</v>
      </c>
      <c r="W34" s="2">
        <f t="shared" si="32"/>
        <v>0</v>
      </c>
      <c r="X34" s="2">
        <f t="shared" si="33"/>
        <v>1</v>
      </c>
      <c r="Y34" s="2">
        <f t="shared" si="34"/>
        <v>0</v>
      </c>
      <c r="AP34" s="62">
        <v>41630</v>
      </c>
      <c r="AQ34" s="43"/>
      <c r="AR34" s="43" t="s">
        <v>58</v>
      </c>
      <c r="AS34" s="43"/>
      <c r="BI34" s="7">
        <f t="shared" si="41"/>
        <v>0</v>
      </c>
      <c r="BJ34" s="11" t="str">
        <f>BN29</f>
        <v>Porto</v>
      </c>
      <c r="BK34" s="34">
        <v>1</v>
      </c>
      <c r="BL34" s="11" t="s">
        <v>22</v>
      </c>
      <c r="BM34" s="34">
        <v>4</v>
      </c>
      <c r="BN34" s="11" t="s">
        <v>72</v>
      </c>
      <c r="BO34" s="7">
        <f t="shared" si="51"/>
        <v>3</v>
      </c>
      <c r="BP34" s="2">
        <f t="shared" si="42"/>
        <v>0</v>
      </c>
      <c r="BQ34" s="2">
        <f t="shared" si="43"/>
        <v>1</v>
      </c>
      <c r="BR34" s="2">
        <f t="shared" si="44"/>
        <v>0</v>
      </c>
      <c r="BS34" s="2">
        <f t="shared" si="45"/>
        <v>0</v>
      </c>
      <c r="BT34" s="2">
        <f t="shared" si="46"/>
        <v>1</v>
      </c>
      <c r="BU34" s="2">
        <f t="shared" si="47"/>
        <v>0</v>
      </c>
      <c r="CL34" s="62">
        <v>41706</v>
      </c>
      <c r="CM34" s="43"/>
      <c r="CN34" s="43" t="str">
        <f t="shared" ref="CN34" si="62">IF(BJ34="Central","Lacerdão",IF(BJ34="Porto","Lacerdão",IF(BJ34="Salgueiro","Cornélio de Barros",IF(BJ34="Vitória-PE","Carneirão",IF(BJ34="Serra Talhada","Nildo Pereira",IF(BJ34="Ypiranga","Otávio Limeira",IF(BJ34="América-PE","Ademir Cunha",IF(BJ34="Chã Grande","Carneirão",IF(BJ34="Pesqueira","Otávio Limeira","Estadio Indefinido")))))))))</f>
        <v>Lacerdão</v>
      </c>
      <c r="CO34" s="43"/>
    </row>
    <row r="35" spans="2:93">
      <c r="M35" s="7">
        <f t="shared" si="27"/>
        <v>1</v>
      </c>
      <c r="N35" s="3" t="s">
        <v>21</v>
      </c>
      <c r="O35" s="37">
        <v>1</v>
      </c>
      <c r="P35" s="3" t="s">
        <v>22</v>
      </c>
      <c r="Q35" s="37">
        <v>1</v>
      </c>
      <c r="R35" s="3" t="s">
        <v>16</v>
      </c>
      <c r="S35" s="8">
        <f t="shared" si="28"/>
        <v>1</v>
      </c>
      <c r="T35" s="2">
        <f t="shared" si="29"/>
        <v>0</v>
      </c>
      <c r="U35" s="2">
        <f t="shared" si="30"/>
        <v>0</v>
      </c>
      <c r="V35" s="2">
        <f t="shared" si="31"/>
        <v>1</v>
      </c>
      <c r="W35" s="2">
        <f t="shared" si="32"/>
        <v>1</v>
      </c>
      <c r="X35" s="2">
        <f t="shared" si="33"/>
        <v>0</v>
      </c>
      <c r="Y35" s="2">
        <f t="shared" si="34"/>
        <v>0</v>
      </c>
      <c r="AP35" s="62">
        <v>41630</v>
      </c>
      <c r="AQ35" s="43"/>
      <c r="AR35" s="43" t="s">
        <v>56</v>
      </c>
      <c r="AS35" s="43"/>
      <c r="BI35" s="7">
        <f t="shared" si="41"/>
        <v>3</v>
      </c>
      <c r="BJ35" s="11" t="s">
        <v>70</v>
      </c>
      <c r="BK35" s="34">
        <v>7</v>
      </c>
      <c r="BL35" s="11" t="s">
        <v>22</v>
      </c>
      <c r="BM35" s="34">
        <v>0</v>
      </c>
      <c r="BN35" s="11" t="str">
        <f>BN30</f>
        <v>Salgueiro</v>
      </c>
      <c r="BO35" s="7">
        <f t="shared" si="51"/>
        <v>0</v>
      </c>
      <c r="BP35" s="2">
        <f t="shared" si="42"/>
        <v>1</v>
      </c>
      <c r="BQ35" s="2">
        <f t="shared" si="43"/>
        <v>0</v>
      </c>
      <c r="BR35" s="2">
        <f t="shared" si="44"/>
        <v>0</v>
      </c>
      <c r="BS35" s="2">
        <f t="shared" si="45"/>
        <v>0</v>
      </c>
      <c r="BT35" s="2">
        <f t="shared" si="46"/>
        <v>0</v>
      </c>
      <c r="BU35" s="2">
        <f t="shared" si="47"/>
        <v>1</v>
      </c>
      <c r="CL35" s="62">
        <v>41707</v>
      </c>
      <c r="CM35" s="43"/>
      <c r="CN35" s="43" t="s">
        <v>73</v>
      </c>
      <c r="CO35" s="43"/>
    </row>
    <row r="36" spans="2:93">
      <c r="M36" s="7">
        <f t="shared" si="27"/>
        <v>0</v>
      </c>
      <c r="N36" s="3" t="s">
        <v>48</v>
      </c>
      <c r="O36" s="37">
        <v>0</v>
      </c>
      <c r="P36" s="3" t="s">
        <v>22</v>
      </c>
      <c r="Q36" s="37">
        <v>1</v>
      </c>
      <c r="R36" s="3" t="s">
        <v>15</v>
      </c>
      <c r="S36" s="8">
        <f t="shared" si="28"/>
        <v>3</v>
      </c>
      <c r="T36" s="2">
        <f t="shared" si="29"/>
        <v>0</v>
      </c>
      <c r="U36" s="2">
        <f t="shared" si="30"/>
        <v>1</v>
      </c>
      <c r="V36" s="2">
        <f t="shared" si="31"/>
        <v>0</v>
      </c>
      <c r="W36" s="2">
        <f t="shared" si="32"/>
        <v>0</v>
      </c>
      <c r="X36" s="2">
        <f t="shared" si="33"/>
        <v>1</v>
      </c>
      <c r="Y36" s="2">
        <f t="shared" si="34"/>
        <v>0</v>
      </c>
      <c r="AP36" s="62">
        <v>41630</v>
      </c>
      <c r="AQ36" s="43"/>
      <c r="AR36" s="43" t="s">
        <v>51</v>
      </c>
      <c r="AS36" s="43"/>
      <c r="BI36" s="7">
        <f t="shared" si="41"/>
        <v>0</v>
      </c>
      <c r="BJ36" s="11" t="str">
        <f>BJ29</f>
        <v>Central</v>
      </c>
      <c r="BK36" s="34">
        <v>0</v>
      </c>
      <c r="BL36" s="11" t="s">
        <v>22</v>
      </c>
      <c r="BM36" s="34">
        <v>2</v>
      </c>
      <c r="BN36" s="11" t="s">
        <v>71</v>
      </c>
      <c r="BO36" s="7">
        <f t="shared" si="51"/>
        <v>3</v>
      </c>
      <c r="BP36" s="2">
        <f t="shared" si="42"/>
        <v>0</v>
      </c>
      <c r="BQ36" s="2">
        <f t="shared" si="43"/>
        <v>1</v>
      </c>
      <c r="BR36" s="2">
        <f t="shared" si="44"/>
        <v>0</v>
      </c>
      <c r="BS36" s="2">
        <f t="shared" si="45"/>
        <v>0</v>
      </c>
      <c r="BT36" s="2">
        <f t="shared" si="46"/>
        <v>1</v>
      </c>
      <c r="BU36" s="2">
        <f t="shared" si="47"/>
        <v>0</v>
      </c>
      <c r="CL36" s="62">
        <v>41707</v>
      </c>
      <c r="CM36" s="43"/>
      <c r="CN36" s="43" t="str">
        <f t="shared" ref="CN36" si="63">IF(BJ36="Central","Lacerdão",IF(BJ36="Porto","Lacerdão",IF(BJ36="Salgueiro","Cornélio de Barros",IF(BJ36="Vitória-PE","Carneirão",IF(BJ36="Serra Talhada","Nildo Pereira",IF(BJ36="Ypiranga","Otávio Limeira",IF(BJ36="América-PE","Ademir Cunha",IF(BJ36="Chã Grande","Carneirão",IF(BJ36="Pesqueira","Otávio Limeira","Estadio Indefinido")))))))))</f>
        <v>Lacerdão</v>
      </c>
      <c r="CO36" s="43"/>
    </row>
    <row r="37" spans="2:93">
      <c r="M37" s="7" t="str">
        <f t="shared" si="27"/>
        <v/>
      </c>
      <c r="S37" s="8" t="str">
        <f t="shared" si="28"/>
        <v/>
      </c>
      <c r="T37" s="2">
        <f t="shared" si="29"/>
        <v>0</v>
      </c>
      <c r="U37" s="2">
        <f t="shared" si="30"/>
        <v>0</v>
      </c>
      <c r="V37" s="2">
        <f t="shared" si="31"/>
        <v>0</v>
      </c>
      <c r="W37" s="2">
        <f t="shared" si="32"/>
        <v>0</v>
      </c>
      <c r="X37" s="2">
        <f t="shared" si="33"/>
        <v>0</v>
      </c>
      <c r="Y37" s="2">
        <f t="shared" si="34"/>
        <v>0</v>
      </c>
      <c r="BI37" s="7" t="str">
        <f t="shared" si="41"/>
        <v/>
      </c>
      <c r="BO37" s="7" t="str">
        <f t="shared" si="51"/>
        <v/>
      </c>
      <c r="BP37" s="2">
        <f t="shared" si="42"/>
        <v>0</v>
      </c>
      <c r="BQ37" s="2">
        <f t="shared" si="43"/>
        <v>0</v>
      </c>
      <c r="BR37" s="2">
        <f t="shared" si="44"/>
        <v>0</v>
      </c>
      <c r="BS37" s="2">
        <f t="shared" si="45"/>
        <v>0</v>
      </c>
      <c r="BT37" s="2">
        <f t="shared" si="46"/>
        <v>0</v>
      </c>
      <c r="BU37" s="2">
        <f t="shared" si="47"/>
        <v>0</v>
      </c>
    </row>
    <row r="38" spans="2:93">
      <c r="B38" s="42" t="s">
        <v>60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7" t="str">
        <f t="shared" si="27"/>
        <v/>
      </c>
      <c r="N38" s="80" t="s">
        <v>28</v>
      </c>
      <c r="O38" s="57"/>
      <c r="P38" s="57"/>
      <c r="Q38" s="57"/>
      <c r="R38" s="58"/>
      <c r="S38" s="8" t="str">
        <f t="shared" si="28"/>
        <v/>
      </c>
      <c r="T38" s="2">
        <f t="shared" si="29"/>
        <v>0</v>
      </c>
      <c r="U38" s="2">
        <f t="shared" si="30"/>
        <v>0</v>
      </c>
      <c r="V38" s="2">
        <f t="shared" si="31"/>
        <v>0</v>
      </c>
      <c r="W38" s="2">
        <f t="shared" si="32"/>
        <v>0</v>
      </c>
      <c r="X38" s="2">
        <f t="shared" si="33"/>
        <v>0</v>
      </c>
      <c r="Y38" s="2">
        <f t="shared" si="34"/>
        <v>0</v>
      </c>
      <c r="BI38" s="7" t="str">
        <f t="shared" si="41"/>
        <v/>
      </c>
      <c r="BJ38" s="80" t="s">
        <v>29</v>
      </c>
      <c r="BK38" s="57"/>
      <c r="BL38" s="57"/>
      <c r="BM38" s="57"/>
      <c r="BN38" s="58"/>
      <c r="BO38" s="7" t="str">
        <f t="shared" si="51"/>
        <v/>
      </c>
      <c r="BP38" s="2">
        <f t="shared" si="42"/>
        <v>0</v>
      </c>
      <c r="BQ38" s="2">
        <f t="shared" si="43"/>
        <v>0</v>
      </c>
      <c r="BR38" s="2">
        <f t="shared" si="44"/>
        <v>0</v>
      </c>
      <c r="BS38" s="2">
        <f t="shared" si="45"/>
        <v>0</v>
      </c>
      <c r="BT38" s="2">
        <f t="shared" si="46"/>
        <v>0</v>
      </c>
      <c r="BU38" s="2">
        <f t="shared" si="47"/>
        <v>0</v>
      </c>
    </row>
    <row r="39" spans="2:93">
      <c r="M39" s="7">
        <f t="shared" si="27"/>
        <v>0</v>
      </c>
      <c r="N39" s="3" t="s">
        <v>16</v>
      </c>
      <c r="O39" s="37">
        <v>0</v>
      </c>
      <c r="P39" s="3" t="s">
        <v>22</v>
      </c>
      <c r="Q39" s="37">
        <v>2</v>
      </c>
      <c r="R39" s="3" t="s">
        <v>24</v>
      </c>
      <c r="S39" s="8">
        <f t="shared" si="28"/>
        <v>3</v>
      </c>
      <c r="T39" s="2">
        <f t="shared" si="29"/>
        <v>0</v>
      </c>
      <c r="U39" s="2">
        <f t="shared" si="30"/>
        <v>1</v>
      </c>
      <c r="V39" s="2">
        <f t="shared" si="31"/>
        <v>0</v>
      </c>
      <c r="W39" s="2">
        <f t="shared" si="32"/>
        <v>0</v>
      </c>
      <c r="X39" s="2">
        <f t="shared" si="33"/>
        <v>1</v>
      </c>
      <c r="Y39" s="2">
        <f t="shared" si="34"/>
        <v>0</v>
      </c>
      <c r="AP39" s="62">
        <v>41634</v>
      </c>
      <c r="AQ39" s="43"/>
      <c r="AR39" s="43" t="s">
        <v>55</v>
      </c>
      <c r="AS39" s="43"/>
      <c r="BI39" s="7">
        <f t="shared" si="41"/>
        <v>3</v>
      </c>
      <c r="BJ39" s="11" t="s">
        <v>70</v>
      </c>
      <c r="BK39" s="34">
        <v>4</v>
      </c>
      <c r="BL39" s="11" t="s">
        <v>22</v>
      </c>
      <c r="BM39" s="34">
        <v>0</v>
      </c>
      <c r="BN39" s="11" t="str">
        <f>BJ34</f>
        <v>Porto</v>
      </c>
      <c r="BO39" s="7">
        <f t="shared" si="51"/>
        <v>0</v>
      </c>
      <c r="BP39" s="2">
        <f t="shared" si="42"/>
        <v>1</v>
      </c>
      <c r="BQ39" s="2">
        <f t="shared" si="43"/>
        <v>0</v>
      </c>
      <c r="BR39" s="2">
        <f t="shared" si="44"/>
        <v>0</v>
      </c>
      <c r="BS39" s="2">
        <f t="shared" si="45"/>
        <v>0</v>
      </c>
      <c r="BT39" s="2">
        <f t="shared" si="46"/>
        <v>0</v>
      </c>
      <c r="BU39" s="2">
        <f t="shared" si="47"/>
        <v>1</v>
      </c>
      <c r="CL39" s="62">
        <v>41713</v>
      </c>
      <c r="CM39" s="43"/>
      <c r="CN39" s="43" t="s">
        <v>73</v>
      </c>
      <c r="CO39" s="43"/>
    </row>
    <row r="40" spans="2:93">
      <c r="B40" s="73" t="str">
        <f>B21</f>
        <v>Classificados</v>
      </c>
      <c r="C40" s="73"/>
      <c r="D40" s="73"/>
      <c r="E40" s="44" t="str">
        <f>D21</f>
        <v>Salgueiro</v>
      </c>
      <c r="F40" s="45"/>
      <c r="G40" s="44" t="str">
        <f>F21</f>
        <v>Central</v>
      </c>
      <c r="H40" s="45"/>
      <c r="I40" s="44" t="str">
        <f>H21</f>
        <v>Porto</v>
      </c>
      <c r="J40" s="41"/>
      <c r="K40" s="45"/>
      <c r="M40" s="7">
        <f t="shared" si="27"/>
        <v>3</v>
      </c>
      <c r="N40" s="3" t="s">
        <v>15</v>
      </c>
      <c r="O40" s="37">
        <v>2</v>
      </c>
      <c r="P40" s="3" t="s">
        <v>22</v>
      </c>
      <c r="Q40" s="37">
        <v>0</v>
      </c>
      <c r="R40" s="3" t="s">
        <v>18</v>
      </c>
      <c r="S40" s="8">
        <f t="shared" si="28"/>
        <v>0</v>
      </c>
      <c r="T40" s="2">
        <f t="shared" si="29"/>
        <v>1</v>
      </c>
      <c r="U40" s="2">
        <f t="shared" si="30"/>
        <v>0</v>
      </c>
      <c r="V40" s="2">
        <f t="shared" si="31"/>
        <v>0</v>
      </c>
      <c r="W40" s="2">
        <f t="shared" si="32"/>
        <v>0</v>
      </c>
      <c r="X40" s="2">
        <f t="shared" si="33"/>
        <v>0</v>
      </c>
      <c r="Y40" s="2">
        <f t="shared" si="34"/>
        <v>1</v>
      </c>
      <c r="AP40" s="62">
        <v>41634</v>
      </c>
      <c r="AQ40" s="43"/>
      <c r="AR40" s="43" t="s">
        <v>52</v>
      </c>
      <c r="AS40" s="43"/>
      <c r="BI40" s="7">
        <f t="shared" si="41"/>
        <v>3</v>
      </c>
      <c r="BJ40" s="11" t="str">
        <f>BN35</f>
        <v>Salgueiro</v>
      </c>
      <c r="BK40" s="34">
        <v>2</v>
      </c>
      <c r="BL40" s="11" t="s">
        <v>22</v>
      </c>
      <c r="BM40" s="34">
        <v>1</v>
      </c>
      <c r="BN40" s="11" t="s">
        <v>71</v>
      </c>
      <c r="BO40" s="7">
        <f t="shared" si="51"/>
        <v>0</v>
      </c>
      <c r="BP40" s="2">
        <f t="shared" si="42"/>
        <v>1</v>
      </c>
      <c r="BQ40" s="2">
        <f t="shared" si="43"/>
        <v>0</v>
      </c>
      <c r="BR40" s="2">
        <f t="shared" si="44"/>
        <v>0</v>
      </c>
      <c r="BS40" s="2">
        <f t="shared" si="45"/>
        <v>0</v>
      </c>
      <c r="BT40" s="2">
        <f t="shared" si="46"/>
        <v>0</v>
      </c>
      <c r="BU40" s="2">
        <f t="shared" si="47"/>
        <v>1</v>
      </c>
      <c r="CL40" s="62">
        <v>41714</v>
      </c>
      <c r="CM40" s="43"/>
      <c r="CN40" s="43" t="str">
        <f t="shared" ref="CN40" si="64">IF(BJ40="Central","Lacerdão",IF(BJ40="Porto","Lacerdão",IF(BJ40="Salgueiro","Cornélio de Barros",IF(BJ40="Vitória-PE","Carneirão",IF(BJ40="Serra Talhada","Nildo Pereira",IF(BJ40="Ypiranga","Otávio Limeira",IF(BJ40="América-PE","Ademir Cunha",IF(BJ40="Chã Grande","Carneirão",IF(BJ40="Pesqueira","Otávio Limeira","Estadio Indefinido")))))))))</f>
        <v>Cornélio de Barros</v>
      </c>
      <c r="CO40" s="43"/>
    </row>
    <row r="41" spans="2:93">
      <c r="G41" s="75"/>
      <c r="H41" s="75"/>
      <c r="I41" s="75"/>
      <c r="J41" s="75"/>
      <c r="K41" s="75"/>
      <c r="M41" s="7">
        <f t="shared" si="27"/>
        <v>3</v>
      </c>
      <c r="N41" s="3" t="s">
        <v>14</v>
      </c>
      <c r="O41" s="37">
        <v>3</v>
      </c>
      <c r="P41" s="3" t="s">
        <v>22</v>
      </c>
      <c r="Q41" s="37">
        <v>1</v>
      </c>
      <c r="R41" s="3" t="s">
        <v>20</v>
      </c>
      <c r="S41" s="8">
        <f t="shared" si="28"/>
        <v>0</v>
      </c>
      <c r="T41" s="2">
        <f t="shared" si="29"/>
        <v>1</v>
      </c>
      <c r="U41" s="2">
        <f t="shared" si="30"/>
        <v>0</v>
      </c>
      <c r="V41" s="2">
        <f t="shared" si="31"/>
        <v>0</v>
      </c>
      <c r="W41" s="2">
        <f t="shared" si="32"/>
        <v>0</v>
      </c>
      <c r="X41" s="2">
        <f t="shared" si="33"/>
        <v>0</v>
      </c>
      <c r="Y41" s="2">
        <f t="shared" si="34"/>
        <v>1</v>
      </c>
      <c r="AP41" s="62">
        <v>41634</v>
      </c>
      <c r="AQ41" s="43"/>
      <c r="AR41" s="43" t="s">
        <v>51</v>
      </c>
      <c r="AS41" s="43"/>
      <c r="BI41" s="7">
        <f t="shared" si="41"/>
        <v>3</v>
      </c>
      <c r="BJ41" s="11" t="s">
        <v>72</v>
      </c>
      <c r="BK41" s="34">
        <v>2</v>
      </c>
      <c r="BL41" s="11" t="s">
        <v>22</v>
      </c>
      <c r="BM41" s="34">
        <v>1</v>
      </c>
      <c r="BN41" s="11" t="str">
        <f>BJ36</f>
        <v>Central</v>
      </c>
      <c r="BO41" s="7">
        <f t="shared" si="51"/>
        <v>0</v>
      </c>
      <c r="BP41" s="2">
        <f t="shared" si="42"/>
        <v>1</v>
      </c>
      <c r="BQ41" s="2">
        <f t="shared" si="43"/>
        <v>0</v>
      </c>
      <c r="BR41" s="2">
        <f t="shared" si="44"/>
        <v>0</v>
      </c>
      <c r="BS41" s="2">
        <f t="shared" si="45"/>
        <v>0</v>
      </c>
      <c r="BT41" s="2">
        <f t="shared" si="46"/>
        <v>0</v>
      </c>
      <c r="BU41" s="2">
        <f t="shared" si="47"/>
        <v>1</v>
      </c>
      <c r="CL41" s="62">
        <v>41714</v>
      </c>
      <c r="CM41" s="43"/>
      <c r="CN41" s="43" t="s">
        <v>74</v>
      </c>
      <c r="CO41" s="43"/>
    </row>
    <row r="42" spans="2:93">
      <c r="B42" s="73" t="s">
        <v>61</v>
      </c>
      <c r="C42" s="73"/>
      <c r="D42" s="73"/>
      <c r="E42" s="43">
        <f>D23</f>
        <v>11</v>
      </c>
      <c r="F42" s="43"/>
      <c r="M42" s="7">
        <f t="shared" si="27"/>
        <v>1</v>
      </c>
      <c r="N42" s="3" t="s">
        <v>19</v>
      </c>
      <c r="O42" s="37">
        <v>1</v>
      </c>
      <c r="P42" s="3" t="s">
        <v>22</v>
      </c>
      <c r="Q42" s="37">
        <v>1</v>
      </c>
      <c r="R42" s="3" t="s">
        <v>21</v>
      </c>
      <c r="S42" s="8">
        <f t="shared" si="28"/>
        <v>1</v>
      </c>
      <c r="T42" s="2">
        <f t="shared" si="29"/>
        <v>0</v>
      </c>
      <c r="U42" s="2">
        <f t="shared" si="30"/>
        <v>0</v>
      </c>
      <c r="V42" s="2">
        <f t="shared" si="31"/>
        <v>1</v>
      </c>
      <c r="W42" s="2">
        <f t="shared" si="32"/>
        <v>1</v>
      </c>
      <c r="X42" s="2">
        <f t="shared" si="33"/>
        <v>0</v>
      </c>
      <c r="Y42" s="2">
        <f t="shared" si="34"/>
        <v>0</v>
      </c>
      <c r="AP42" s="62">
        <v>41634</v>
      </c>
      <c r="AQ42" s="43"/>
      <c r="AR42" s="43" t="s">
        <v>53</v>
      </c>
      <c r="AS42" s="43"/>
      <c r="BI42" s="7" t="str">
        <f t="shared" si="41"/>
        <v/>
      </c>
      <c r="BO42" s="7" t="str">
        <f t="shared" si="51"/>
        <v/>
      </c>
      <c r="BP42" s="2">
        <f t="shared" si="42"/>
        <v>0</v>
      </c>
      <c r="BQ42" s="2">
        <f t="shared" si="43"/>
        <v>0</v>
      </c>
      <c r="BR42" s="2">
        <f t="shared" si="44"/>
        <v>0</v>
      </c>
      <c r="BS42" s="2">
        <f t="shared" si="45"/>
        <v>0</v>
      </c>
      <c r="BT42" s="2">
        <f t="shared" si="46"/>
        <v>0</v>
      </c>
      <c r="BU42" s="2">
        <f t="shared" si="47"/>
        <v>0</v>
      </c>
    </row>
    <row r="43" spans="2:93">
      <c r="B43" s="73" t="s">
        <v>62</v>
      </c>
      <c r="C43" s="73"/>
      <c r="D43" s="73"/>
      <c r="E43" s="43">
        <f t="shared" ref="E43:E47" si="65">D24</f>
        <v>7</v>
      </c>
      <c r="F43" s="43"/>
      <c r="M43" s="7" t="str">
        <f t="shared" si="27"/>
        <v/>
      </c>
      <c r="S43" s="8" t="str">
        <f t="shared" si="28"/>
        <v/>
      </c>
      <c r="T43" s="2">
        <f t="shared" si="29"/>
        <v>0</v>
      </c>
      <c r="U43" s="2">
        <f t="shared" si="30"/>
        <v>0</v>
      </c>
      <c r="V43" s="2">
        <f t="shared" si="31"/>
        <v>0</v>
      </c>
      <c r="W43" s="2">
        <f t="shared" si="32"/>
        <v>0</v>
      </c>
      <c r="X43" s="2">
        <f t="shared" si="33"/>
        <v>0</v>
      </c>
      <c r="Y43" s="2">
        <f t="shared" si="34"/>
        <v>0</v>
      </c>
      <c r="BI43" s="7" t="str">
        <f t="shared" si="41"/>
        <v/>
      </c>
      <c r="BJ43" s="80" t="s">
        <v>30</v>
      </c>
      <c r="BK43" s="57"/>
      <c r="BL43" s="57"/>
      <c r="BM43" s="57"/>
      <c r="BN43" s="58"/>
      <c r="BO43" s="7" t="str">
        <f t="shared" si="51"/>
        <v/>
      </c>
      <c r="BP43" s="2">
        <f t="shared" si="42"/>
        <v>0</v>
      </c>
      <c r="BQ43" s="2">
        <f t="shared" si="43"/>
        <v>0</v>
      </c>
      <c r="BR43" s="2">
        <f t="shared" si="44"/>
        <v>0</v>
      </c>
      <c r="BS43" s="2">
        <f t="shared" si="45"/>
        <v>0</v>
      </c>
      <c r="BT43" s="2">
        <f t="shared" si="46"/>
        <v>0</v>
      </c>
      <c r="BU43" s="2">
        <f t="shared" si="47"/>
        <v>0</v>
      </c>
    </row>
    <row r="44" spans="2:93">
      <c r="B44" s="73" t="s">
        <v>63</v>
      </c>
      <c r="C44" s="73"/>
      <c r="D44" s="73"/>
      <c r="E44" s="43">
        <f t="shared" si="65"/>
        <v>10</v>
      </c>
      <c r="F44" s="43"/>
      <c r="M44" s="7" t="str">
        <f t="shared" si="27"/>
        <v/>
      </c>
      <c r="N44" s="80" t="s">
        <v>29</v>
      </c>
      <c r="O44" s="57"/>
      <c r="P44" s="57"/>
      <c r="Q44" s="57"/>
      <c r="R44" s="58"/>
      <c r="S44" s="8" t="str">
        <f t="shared" si="28"/>
        <v/>
      </c>
      <c r="T44" s="2">
        <f t="shared" si="29"/>
        <v>0</v>
      </c>
      <c r="U44" s="2">
        <f t="shared" si="30"/>
        <v>0</v>
      </c>
      <c r="V44" s="2">
        <f t="shared" si="31"/>
        <v>0</v>
      </c>
      <c r="W44" s="2">
        <f t="shared" si="32"/>
        <v>0</v>
      </c>
      <c r="X44" s="2">
        <f t="shared" si="33"/>
        <v>0</v>
      </c>
      <c r="Y44" s="2">
        <f t="shared" si="34"/>
        <v>0</v>
      </c>
      <c r="BI44" s="7">
        <f t="shared" si="41"/>
        <v>3</v>
      </c>
      <c r="BJ44" s="11" t="s">
        <v>71</v>
      </c>
      <c r="BK44" s="34">
        <v>1</v>
      </c>
      <c r="BL44" s="11" t="s">
        <v>22</v>
      </c>
      <c r="BM44" s="34">
        <v>0</v>
      </c>
      <c r="BN44" s="11" t="str">
        <f>BN39</f>
        <v>Porto</v>
      </c>
      <c r="BO44" s="7">
        <f t="shared" si="51"/>
        <v>0</v>
      </c>
      <c r="BP44" s="2">
        <f t="shared" si="42"/>
        <v>1</v>
      </c>
      <c r="BQ44" s="2">
        <f t="shared" si="43"/>
        <v>0</v>
      </c>
      <c r="BR44" s="2">
        <f t="shared" si="44"/>
        <v>0</v>
      </c>
      <c r="BS44" s="2">
        <f t="shared" si="45"/>
        <v>0</v>
      </c>
      <c r="BT44" s="2">
        <f t="shared" si="46"/>
        <v>0</v>
      </c>
      <c r="BU44" s="2">
        <f t="shared" si="47"/>
        <v>1</v>
      </c>
      <c r="CL44" s="62">
        <v>41720</v>
      </c>
      <c r="CM44" s="43"/>
      <c r="CN44" s="43" t="s">
        <v>75</v>
      </c>
      <c r="CO44" s="43"/>
    </row>
    <row r="45" spans="2:93">
      <c r="B45" s="73" t="s">
        <v>64</v>
      </c>
      <c r="C45" s="73"/>
      <c r="D45" s="73"/>
      <c r="E45" s="43">
        <f t="shared" si="65"/>
        <v>29</v>
      </c>
      <c r="F45" s="43"/>
      <c r="M45" s="7">
        <f t="shared" si="27"/>
        <v>0</v>
      </c>
      <c r="N45" s="3" t="s">
        <v>24</v>
      </c>
      <c r="O45" s="37">
        <v>2</v>
      </c>
      <c r="P45" s="3" t="s">
        <v>22</v>
      </c>
      <c r="Q45" s="37">
        <v>4</v>
      </c>
      <c r="R45" s="3" t="s">
        <v>15</v>
      </c>
      <c r="S45" s="8">
        <f t="shared" si="28"/>
        <v>3</v>
      </c>
      <c r="T45" s="2">
        <f t="shared" si="29"/>
        <v>0</v>
      </c>
      <c r="U45" s="2">
        <f t="shared" si="30"/>
        <v>1</v>
      </c>
      <c r="V45" s="2">
        <f t="shared" si="31"/>
        <v>0</v>
      </c>
      <c r="W45" s="2">
        <f t="shared" si="32"/>
        <v>0</v>
      </c>
      <c r="X45" s="2">
        <f t="shared" si="33"/>
        <v>1</v>
      </c>
      <c r="Y45" s="2">
        <f t="shared" si="34"/>
        <v>0</v>
      </c>
      <c r="AP45" s="62">
        <v>41637</v>
      </c>
      <c r="AQ45" s="43"/>
      <c r="AR45" s="43" t="s">
        <v>57</v>
      </c>
      <c r="AS45" s="43"/>
      <c r="AW45" s="42" t="s">
        <v>60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I45" s="7">
        <f t="shared" si="41"/>
        <v>3</v>
      </c>
      <c r="BJ45" s="11" t="str">
        <f>BN41</f>
        <v>Central</v>
      </c>
      <c r="BK45" s="34">
        <v>1</v>
      </c>
      <c r="BL45" s="11" t="s">
        <v>22</v>
      </c>
      <c r="BM45" s="34">
        <v>0</v>
      </c>
      <c r="BN45" s="11" t="str">
        <f>BJ40</f>
        <v>Salgueiro</v>
      </c>
      <c r="BO45" s="7">
        <f t="shared" si="51"/>
        <v>0</v>
      </c>
      <c r="BP45" s="2">
        <f t="shared" si="42"/>
        <v>1</v>
      </c>
      <c r="BQ45" s="2">
        <f t="shared" si="43"/>
        <v>0</v>
      </c>
      <c r="BR45" s="2">
        <f t="shared" si="44"/>
        <v>0</v>
      </c>
      <c r="BS45" s="2">
        <f t="shared" si="45"/>
        <v>0</v>
      </c>
      <c r="BT45" s="2">
        <f t="shared" si="46"/>
        <v>0</v>
      </c>
      <c r="BU45" s="2">
        <f t="shared" si="47"/>
        <v>1</v>
      </c>
      <c r="CL45" s="62">
        <v>41721</v>
      </c>
      <c r="CM45" s="43"/>
      <c r="CN45" s="43" t="str">
        <f t="shared" ref="CN45" si="66">IF(BJ45="Central","Lacerdão",IF(BJ45="Porto","Lacerdão",IF(BJ45="Salgueiro","Cornélio de Barros",IF(BJ45="Vitória-PE","Carneirão",IF(BJ45="Serra Talhada","Nildo Pereira",IF(BJ45="Ypiranga","Otávio Limeira",IF(BJ45="América-PE","Ademir Cunha",IF(BJ45="Chã Grande","Carneirão",IF(BJ45="Pesqueira","Otávio Limeira","Estadio Indefinido")))))))))</f>
        <v>Lacerdão</v>
      </c>
      <c r="CO45" s="43"/>
    </row>
    <row r="46" spans="2:93">
      <c r="B46" s="73" t="s">
        <v>65</v>
      </c>
      <c r="C46" s="73"/>
      <c r="D46" s="73"/>
      <c r="E46" s="43">
        <f t="shared" si="65"/>
        <v>152</v>
      </c>
      <c r="F46" s="43"/>
      <c r="M46" s="7">
        <f t="shared" si="27"/>
        <v>1</v>
      </c>
      <c r="N46" s="3" t="s">
        <v>20</v>
      </c>
      <c r="O46" s="37">
        <v>1</v>
      </c>
      <c r="P46" s="3" t="s">
        <v>22</v>
      </c>
      <c r="Q46" s="37">
        <v>1</v>
      </c>
      <c r="R46" s="10" t="s">
        <v>48</v>
      </c>
      <c r="S46" s="8">
        <f t="shared" si="28"/>
        <v>1</v>
      </c>
      <c r="T46" s="2">
        <f t="shared" si="29"/>
        <v>0</v>
      </c>
      <c r="U46" s="2">
        <f t="shared" si="30"/>
        <v>0</v>
      </c>
      <c r="V46" s="2">
        <f t="shared" si="31"/>
        <v>1</v>
      </c>
      <c r="W46" s="2">
        <f t="shared" si="32"/>
        <v>1</v>
      </c>
      <c r="X46" s="2">
        <f t="shared" si="33"/>
        <v>0</v>
      </c>
      <c r="Y46" s="2">
        <f t="shared" si="34"/>
        <v>0</v>
      </c>
      <c r="AP46" s="62">
        <v>41637</v>
      </c>
      <c r="AQ46" s="43"/>
      <c r="AR46" s="43" t="s">
        <v>58</v>
      </c>
      <c r="AS46" s="43"/>
      <c r="BI46" s="7">
        <f t="shared" si="41"/>
        <v>0</v>
      </c>
      <c r="BJ46" s="11" t="s">
        <v>72</v>
      </c>
      <c r="BK46" s="34">
        <v>3</v>
      </c>
      <c r="BL46" s="11" t="s">
        <v>22</v>
      </c>
      <c r="BM46" s="34">
        <v>5</v>
      </c>
      <c r="BN46" s="11" t="s">
        <v>70</v>
      </c>
      <c r="BO46" s="7">
        <f t="shared" si="51"/>
        <v>3</v>
      </c>
      <c r="BP46" s="2">
        <f t="shared" si="42"/>
        <v>0</v>
      </c>
      <c r="BQ46" s="2">
        <f t="shared" si="43"/>
        <v>1</v>
      </c>
      <c r="BR46" s="2">
        <f t="shared" si="44"/>
        <v>0</v>
      </c>
      <c r="BS46" s="2">
        <f t="shared" si="45"/>
        <v>0</v>
      </c>
      <c r="BT46" s="2">
        <f t="shared" si="46"/>
        <v>1</v>
      </c>
      <c r="BU46" s="2">
        <f t="shared" si="47"/>
        <v>0</v>
      </c>
      <c r="CL46" s="62">
        <v>41721</v>
      </c>
      <c r="CM46" s="43"/>
      <c r="CN46" s="43" t="s">
        <v>74</v>
      </c>
      <c r="CO46" s="43"/>
    </row>
    <row r="47" spans="2:93">
      <c r="B47" s="73" t="str">
        <f>B28</f>
        <v>total de jogos</v>
      </c>
      <c r="C47" s="73"/>
      <c r="D47" s="73"/>
      <c r="E47" s="56">
        <f t="shared" si="65"/>
        <v>144</v>
      </c>
      <c r="F47" s="56"/>
      <c r="M47" s="7">
        <f t="shared" si="27"/>
        <v>3</v>
      </c>
      <c r="N47" s="3" t="s">
        <v>21</v>
      </c>
      <c r="O47" s="37">
        <v>1</v>
      </c>
      <c r="P47" s="3" t="s">
        <v>22</v>
      </c>
      <c r="Q47" s="37">
        <v>0</v>
      </c>
      <c r="R47" s="3" t="s">
        <v>18</v>
      </c>
      <c r="S47" s="8">
        <f t="shared" si="28"/>
        <v>0</v>
      </c>
      <c r="T47" s="2">
        <f t="shared" si="29"/>
        <v>1</v>
      </c>
      <c r="U47" s="2">
        <f t="shared" si="30"/>
        <v>0</v>
      </c>
      <c r="V47" s="2">
        <f t="shared" si="31"/>
        <v>0</v>
      </c>
      <c r="W47" s="2">
        <f t="shared" si="32"/>
        <v>0</v>
      </c>
      <c r="X47" s="2">
        <f t="shared" si="33"/>
        <v>0</v>
      </c>
      <c r="Y47" s="2">
        <f t="shared" si="34"/>
        <v>1</v>
      </c>
      <c r="AP47" s="62">
        <v>41637</v>
      </c>
      <c r="AQ47" s="43"/>
      <c r="AR47" s="43" t="s">
        <v>56</v>
      </c>
      <c r="AS47" s="43"/>
      <c r="AW47" s="73" t="str">
        <f>AW18</f>
        <v>Classificados</v>
      </c>
      <c r="AX47" s="73"/>
      <c r="AY47" s="41" t="str">
        <f>AY18</f>
        <v>Náutico</v>
      </c>
      <c r="AZ47" s="41"/>
      <c r="BA47" s="43" t="str">
        <f>BA18</f>
        <v>Sport</v>
      </c>
      <c r="BB47" s="43"/>
      <c r="BC47" s="41" t="str">
        <f>BC18</f>
        <v>Santa Cruz</v>
      </c>
      <c r="BD47" s="41"/>
      <c r="BE47" s="43" t="str">
        <f>BE18</f>
        <v>Salgueiro</v>
      </c>
      <c r="BF47" s="43"/>
      <c r="BI47" s="7" t="str">
        <f t="shared" si="41"/>
        <v/>
      </c>
      <c r="BO47" s="7" t="str">
        <f t="shared" si="51"/>
        <v/>
      </c>
      <c r="BP47" s="2">
        <f t="shared" si="42"/>
        <v>0</v>
      </c>
      <c r="BQ47" s="2">
        <f t="shared" si="43"/>
        <v>0</v>
      </c>
      <c r="BR47" s="2">
        <f t="shared" si="44"/>
        <v>0</v>
      </c>
      <c r="BS47" s="2">
        <f t="shared" si="45"/>
        <v>0</v>
      </c>
      <c r="BT47" s="2">
        <f t="shared" si="46"/>
        <v>0</v>
      </c>
      <c r="BU47" s="2">
        <f t="shared" si="47"/>
        <v>0</v>
      </c>
    </row>
    <row r="48" spans="2:93">
      <c r="M48" s="7">
        <f t="shared" si="27"/>
        <v>3</v>
      </c>
      <c r="N48" s="3" t="s">
        <v>16</v>
      </c>
      <c r="O48" s="37">
        <v>1</v>
      </c>
      <c r="P48" s="3" t="s">
        <v>22</v>
      </c>
      <c r="Q48" s="37">
        <v>0</v>
      </c>
      <c r="R48" s="3" t="s">
        <v>19</v>
      </c>
      <c r="S48" s="8">
        <f t="shared" si="28"/>
        <v>0</v>
      </c>
      <c r="T48" s="2">
        <f t="shared" si="29"/>
        <v>1</v>
      </c>
      <c r="U48" s="2">
        <f t="shared" si="30"/>
        <v>0</v>
      </c>
      <c r="V48" s="2">
        <f t="shared" si="31"/>
        <v>0</v>
      </c>
      <c r="W48" s="2">
        <f t="shared" si="32"/>
        <v>0</v>
      </c>
      <c r="X48" s="2">
        <f t="shared" si="33"/>
        <v>0</v>
      </c>
      <c r="Y48" s="2">
        <f t="shared" si="34"/>
        <v>1</v>
      </c>
      <c r="AP48" s="62">
        <v>41637</v>
      </c>
      <c r="AQ48" s="43"/>
      <c r="AR48" s="43" t="s">
        <v>55</v>
      </c>
      <c r="AS48" s="43"/>
      <c r="BB48" s="75"/>
      <c r="BC48" s="75"/>
      <c r="BD48" s="75"/>
      <c r="BE48" s="75"/>
      <c r="BF48" s="75"/>
      <c r="BI48" s="7" t="str">
        <f t="shared" si="41"/>
        <v/>
      </c>
      <c r="BJ48" s="80" t="s">
        <v>31</v>
      </c>
      <c r="BK48" s="57"/>
      <c r="BL48" s="57"/>
      <c r="BM48" s="57"/>
      <c r="BN48" s="58"/>
      <c r="BO48" s="7" t="str">
        <f t="shared" si="51"/>
        <v/>
      </c>
      <c r="BP48" s="2">
        <f t="shared" si="42"/>
        <v>0</v>
      </c>
      <c r="BQ48" s="2">
        <f t="shared" si="43"/>
        <v>0</v>
      </c>
      <c r="BR48" s="2">
        <f t="shared" si="44"/>
        <v>0</v>
      </c>
      <c r="BS48" s="2">
        <f t="shared" si="45"/>
        <v>0</v>
      </c>
      <c r="BT48" s="2">
        <f t="shared" si="46"/>
        <v>0</v>
      </c>
      <c r="BU48" s="2">
        <f t="shared" si="47"/>
        <v>0</v>
      </c>
    </row>
    <row r="49" spans="2:94">
      <c r="M49" s="7" t="str">
        <f t="shared" si="27"/>
        <v/>
      </c>
      <c r="S49" s="8" t="str">
        <f t="shared" si="28"/>
        <v/>
      </c>
      <c r="T49" s="2">
        <f t="shared" si="29"/>
        <v>0</v>
      </c>
      <c r="U49" s="2">
        <f t="shared" si="30"/>
        <v>0</v>
      </c>
      <c r="V49" s="2">
        <f t="shared" si="31"/>
        <v>0</v>
      </c>
      <c r="W49" s="2">
        <f t="shared" si="32"/>
        <v>0</v>
      </c>
      <c r="X49" s="2">
        <f t="shared" si="33"/>
        <v>0</v>
      </c>
      <c r="Y49" s="2">
        <f t="shared" si="34"/>
        <v>0</v>
      </c>
      <c r="AW49" s="73" t="s">
        <v>61</v>
      </c>
      <c r="AX49" s="73"/>
      <c r="AY49" s="73"/>
      <c r="AZ49" s="43">
        <f>AZ20</f>
        <v>6</v>
      </c>
      <c r="BA49" s="43"/>
      <c r="BI49" s="7">
        <f t="shared" si="41"/>
        <v>0</v>
      </c>
      <c r="BJ49" s="11" t="str">
        <f>BN45</f>
        <v>Salgueiro</v>
      </c>
      <c r="BK49" s="34">
        <v>1</v>
      </c>
      <c r="BL49" s="11" t="s">
        <v>22</v>
      </c>
      <c r="BM49" s="34">
        <v>3</v>
      </c>
      <c r="BN49" s="11" t="s">
        <v>72</v>
      </c>
      <c r="BO49" s="7">
        <f t="shared" si="51"/>
        <v>3</v>
      </c>
      <c r="BP49" s="2">
        <f t="shared" si="42"/>
        <v>0</v>
      </c>
      <c r="BQ49" s="2">
        <f t="shared" si="43"/>
        <v>1</v>
      </c>
      <c r="BR49" s="2">
        <f t="shared" si="44"/>
        <v>0</v>
      </c>
      <c r="BS49" s="2">
        <f t="shared" si="45"/>
        <v>0</v>
      </c>
      <c r="BT49" s="2">
        <f t="shared" si="46"/>
        <v>1</v>
      </c>
      <c r="BU49" s="2">
        <f t="shared" si="47"/>
        <v>0</v>
      </c>
      <c r="CL49" s="62">
        <v>41724</v>
      </c>
      <c r="CM49" s="43"/>
      <c r="CN49" s="43" t="str">
        <f t="shared" ref="CN49:CN50" si="67">IF(BJ49="Central","Lacerdão",IF(BJ49="Porto","Lacerdão",IF(BJ49="Salgueiro","Cornélio de Barros",IF(BJ49="Vitória-PE","Carneirão",IF(BJ49="Serra Talhada","Nildo Pereira",IF(BJ49="Ypiranga","Otávio Limeira",IF(BJ49="América-PE","Ademir Cunha",IF(BJ49="Chã Grande","Carneirão",IF(BJ49="Pesqueira","Otávio Limeira","Estadio Indefinido")))))))))</f>
        <v>Cornélio de Barros</v>
      </c>
      <c r="CO49" s="43"/>
    </row>
    <row r="50" spans="2:94">
      <c r="M50" s="7" t="str">
        <f t="shared" si="27"/>
        <v/>
      </c>
      <c r="N50" s="80" t="s">
        <v>30</v>
      </c>
      <c r="O50" s="57"/>
      <c r="P50" s="57"/>
      <c r="Q50" s="57"/>
      <c r="R50" s="58"/>
      <c r="S50" s="8" t="str">
        <f t="shared" si="28"/>
        <v/>
      </c>
      <c r="T50" s="2">
        <f t="shared" si="29"/>
        <v>0</v>
      </c>
      <c r="U50" s="2">
        <f t="shared" si="30"/>
        <v>0</v>
      </c>
      <c r="V50" s="2">
        <f t="shared" si="31"/>
        <v>0</v>
      </c>
      <c r="W50" s="2">
        <f t="shared" si="32"/>
        <v>0</v>
      </c>
      <c r="X50" s="2">
        <f t="shared" si="33"/>
        <v>0</v>
      </c>
      <c r="Y50" s="2">
        <f t="shared" si="34"/>
        <v>0</v>
      </c>
      <c r="AW50" s="73" t="s">
        <v>62</v>
      </c>
      <c r="AX50" s="73"/>
      <c r="AY50" s="73"/>
      <c r="AZ50" s="43">
        <f t="shared" ref="AZ50:AZ53" si="68">AZ21</f>
        <v>4</v>
      </c>
      <c r="BA50" s="43"/>
      <c r="BI50" s="7">
        <f t="shared" si="41"/>
        <v>0</v>
      </c>
      <c r="BJ50" s="11" t="str">
        <f>BN44</f>
        <v>Porto</v>
      </c>
      <c r="BK50" s="34">
        <v>0</v>
      </c>
      <c r="BL50" s="11" t="s">
        <v>22</v>
      </c>
      <c r="BM50" s="34">
        <v>5</v>
      </c>
      <c r="BN50" s="11" t="str">
        <f>BJ45</f>
        <v>Central</v>
      </c>
      <c r="BO50" s="7">
        <f t="shared" si="51"/>
        <v>3</v>
      </c>
      <c r="BP50" s="2">
        <f t="shared" si="42"/>
        <v>0</v>
      </c>
      <c r="BQ50" s="2">
        <f t="shared" si="43"/>
        <v>1</v>
      </c>
      <c r="BR50" s="2">
        <f t="shared" si="44"/>
        <v>0</v>
      </c>
      <c r="BS50" s="2">
        <f t="shared" si="45"/>
        <v>0</v>
      </c>
      <c r="BT50" s="2">
        <f t="shared" si="46"/>
        <v>1</v>
      </c>
      <c r="BU50" s="2">
        <f t="shared" si="47"/>
        <v>0</v>
      </c>
      <c r="CL50" s="62">
        <v>41724</v>
      </c>
      <c r="CM50" s="43"/>
      <c r="CN50" s="43" t="str">
        <f t="shared" si="67"/>
        <v>Lacerdão</v>
      </c>
      <c r="CO50" s="43"/>
    </row>
    <row r="51" spans="2:94">
      <c r="M51" s="7">
        <f t="shared" si="27"/>
        <v>3</v>
      </c>
      <c r="N51" s="3" t="s">
        <v>15</v>
      </c>
      <c r="O51" s="37">
        <v>2</v>
      </c>
      <c r="P51" s="3" t="s">
        <v>22</v>
      </c>
      <c r="Q51" s="37">
        <v>0</v>
      </c>
      <c r="R51" s="3" t="s">
        <v>21</v>
      </c>
      <c r="S51" s="8">
        <f t="shared" si="28"/>
        <v>0</v>
      </c>
      <c r="T51" s="2">
        <f t="shared" si="29"/>
        <v>1</v>
      </c>
      <c r="U51" s="2">
        <f t="shared" si="30"/>
        <v>0</v>
      </c>
      <c r="V51" s="2">
        <f t="shared" si="31"/>
        <v>0</v>
      </c>
      <c r="W51" s="2">
        <f t="shared" si="32"/>
        <v>0</v>
      </c>
      <c r="X51" s="2">
        <f t="shared" si="33"/>
        <v>0</v>
      </c>
      <c r="Y51" s="2">
        <f t="shared" si="34"/>
        <v>1</v>
      </c>
      <c r="AP51" s="62">
        <v>41641</v>
      </c>
      <c r="AQ51" s="43"/>
      <c r="AR51" s="43" t="s">
        <v>52</v>
      </c>
      <c r="AS51" s="43"/>
      <c r="AW51" s="73" t="s">
        <v>63</v>
      </c>
      <c r="AX51" s="73"/>
      <c r="AY51" s="73"/>
      <c r="AZ51" s="43">
        <f t="shared" si="68"/>
        <v>9</v>
      </c>
      <c r="BA51" s="43"/>
      <c r="BI51" s="7">
        <f t="shared" si="41"/>
        <v>1</v>
      </c>
      <c r="BJ51" s="11" t="s">
        <v>70</v>
      </c>
      <c r="BK51" s="34">
        <v>1</v>
      </c>
      <c r="BL51" s="11" t="s">
        <v>22</v>
      </c>
      <c r="BM51" s="34">
        <v>1</v>
      </c>
      <c r="BN51" s="11" t="s">
        <v>71</v>
      </c>
      <c r="BO51" s="7">
        <f t="shared" si="51"/>
        <v>1</v>
      </c>
      <c r="BP51" s="2">
        <f t="shared" si="42"/>
        <v>0</v>
      </c>
      <c r="BQ51" s="2">
        <f t="shared" si="43"/>
        <v>0</v>
      </c>
      <c r="BR51" s="2">
        <f t="shared" si="44"/>
        <v>1</v>
      </c>
      <c r="BS51" s="2">
        <f t="shared" si="45"/>
        <v>1</v>
      </c>
      <c r="BT51" s="2">
        <f t="shared" si="46"/>
        <v>0</v>
      </c>
      <c r="BU51" s="2">
        <f t="shared" si="47"/>
        <v>0</v>
      </c>
      <c r="CL51" s="62">
        <v>41724</v>
      </c>
      <c r="CM51" s="43"/>
      <c r="CN51" s="43" t="s">
        <v>73</v>
      </c>
      <c r="CO51" s="43"/>
    </row>
    <row r="52" spans="2:94">
      <c r="M52" s="7">
        <f t="shared" si="27"/>
        <v>3</v>
      </c>
      <c r="N52" s="3" t="s">
        <v>48</v>
      </c>
      <c r="O52" s="37">
        <v>3</v>
      </c>
      <c r="P52" s="3" t="s">
        <v>22</v>
      </c>
      <c r="Q52" s="37">
        <v>1</v>
      </c>
      <c r="R52" s="3" t="s">
        <v>24</v>
      </c>
      <c r="S52" s="8">
        <f t="shared" si="28"/>
        <v>0</v>
      </c>
      <c r="T52" s="2">
        <f t="shared" si="29"/>
        <v>1</v>
      </c>
      <c r="U52" s="2">
        <f t="shared" si="30"/>
        <v>0</v>
      </c>
      <c r="V52" s="2">
        <f t="shared" si="31"/>
        <v>0</v>
      </c>
      <c r="W52" s="2">
        <f t="shared" si="32"/>
        <v>0</v>
      </c>
      <c r="X52" s="2">
        <f t="shared" si="33"/>
        <v>0</v>
      </c>
      <c r="Y52" s="2">
        <f t="shared" si="34"/>
        <v>1</v>
      </c>
      <c r="AP52" s="62">
        <v>41641</v>
      </c>
      <c r="AQ52" s="43"/>
      <c r="AR52" s="43" t="s">
        <v>51</v>
      </c>
      <c r="AS52" s="43"/>
      <c r="AW52" s="73" t="s">
        <v>64</v>
      </c>
      <c r="AX52" s="73"/>
      <c r="AY52" s="73"/>
      <c r="AZ52" s="43">
        <f t="shared" si="68"/>
        <v>23</v>
      </c>
      <c r="BA52" s="43"/>
      <c r="BI52" s="7" t="str">
        <f t="shared" si="41"/>
        <v/>
      </c>
      <c r="BO52" s="7" t="str">
        <f t="shared" si="51"/>
        <v/>
      </c>
      <c r="BP52" s="2">
        <f t="shared" si="42"/>
        <v>0</v>
      </c>
      <c r="BQ52" s="2">
        <f t="shared" si="43"/>
        <v>0</v>
      </c>
      <c r="BR52" s="2">
        <f t="shared" si="44"/>
        <v>0</v>
      </c>
      <c r="BS52" s="2">
        <f t="shared" si="45"/>
        <v>0</v>
      </c>
      <c r="BT52" s="2">
        <f t="shared" si="46"/>
        <v>0</v>
      </c>
      <c r="BU52" s="2">
        <f t="shared" si="47"/>
        <v>0</v>
      </c>
    </row>
    <row r="53" spans="2:94">
      <c r="M53" s="7">
        <f t="shared" si="27"/>
        <v>0</v>
      </c>
      <c r="N53" s="3" t="s">
        <v>19</v>
      </c>
      <c r="O53" s="37">
        <v>1</v>
      </c>
      <c r="P53" s="3" t="s">
        <v>22</v>
      </c>
      <c r="Q53" s="37">
        <v>2</v>
      </c>
      <c r="R53" s="3" t="s">
        <v>14</v>
      </c>
      <c r="S53" s="8">
        <f t="shared" si="28"/>
        <v>3</v>
      </c>
      <c r="T53" s="2">
        <f t="shared" si="29"/>
        <v>0</v>
      </c>
      <c r="U53" s="2">
        <f t="shared" si="30"/>
        <v>1</v>
      </c>
      <c r="V53" s="2">
        <f t="shared" si="31"/>
        <v>0</v>
      </c>
      <c r="W53" s="2">
        <f t="shared" si="32"/>
        <v>0</v>
      </c>
      <c r="X53" s="2">
        <f t="shared" si="33"/>
        <v>1</v>
      </c>
      <c r="Y53" s="2">
        <f t="shared" si="34"/>
        <v>0</v>
      </c>
      <c r="AP53" s="62">
        <v>41641</v>
      </c>
      <c r="AQ53" s="43"/>
      <c r="AR53" s="43" t="s">
        <v>53</v>
      </c>
      <c r="AS53" s="43"/>
      <c r="AW53" s="73" t="s">
        <v>65</v>
      </c>
      <c r="AX53" s="73"/>
      <c r="AY53" s="73"/>
      <c r="AZ53" s="43">
        <f t="shared" si="68"/>
        <v>85</v>
      </c>
      <c r="BA53" s="43"/>
      <c r="BI53" s="7" t="str">
        <f t="shared" si="41"/>
        <v/>
      </c>
      <c r="BJ53" s="80" t="s">
        <v>32</v>
      </c>
      <c r="BK53" s="57"/>
      <c r="BL53" s="57"/>
      <c r="BM53" s="57"/>
      <c r="BN53" s="58"/>
      <c r="BO53" s="7" t="str">
        <f t="shared" si="51"/>
        <v/>
      </c>
      <c r="BP53" s="2">
        <f t="shared" si="42"/>
        <v>0</v>
      </c>
      <c r="BQ53" s="2">
        <f t="shared" si="43"/>
        <v>0</v>
      </c>
      <c r="BR53" s="2">
        <f t="shared" si="44"/>
        <v>0</v>
      </c>
      <c r="BS53" s="2">
        <f t="shared" si="45"/>
        <v>0</v>
      </c>
      <c r="BT53" s="2">
        <f t="shared" si="46"/>
        <v>0</v>
      </c>
      <c r="BU53" s="2">
        <f t="shared" si="47"/>
        <v>0</v>
      </c>
    </row>
    <row r="54" spans="2:94">
      <c r="M54" s="7">
        <f t="shared" si="27"/>
        <v>3</v>
      </c>
      <c r="N54" s="3" t="s">
        <v>18</v>
      </c>
      <c r="O54" s="37">
        <v>2</v>
      </c>
      <c r="P54" s="3" t="s">
        <v>22</v>
      </c>
      <c r="Q54" s="37">
        <v>0</v>
      </c>
      <c r="R54" s="3" t="s">
        <v>20</v>
      </c>
      <c r="S54" s="8">
        <f t="shared" si="28"/>
        <v>0</v>
      </c>
      <c r="T54" s="2">
        <f t="shared" si="29"/>
        <v>1</v>
      </c>
      <c r="U54" s="2">
        <f t="shared" si="30"/>
        <v>0</v>
      </c>
      <c r="V54" s="2">
        <f t="shared" si="31"/>
        <v>0</v>
      </c>
      <c r="W54" s="2">
        <f t="shared" si="32"/>
        <v>0</v>
      </c>
      <c r="X54" s="2">
        <f t="shared" si="33"/>
        <v>0</v>
      </c>
      <c r="Y54" s="2">
        <f t="shared" si="34"/>
        <v>1</v>
      </c>
      <c r="AP54" s="62">
        <v>41642</v>
      </c>
      <c r="AQ54" s="43"/>
      <c r="AR54" s="43" t="s">
        <v>53</v>
      </c>
      <c r="AS54" s="43"/>
      <c r="AW54" s="73" t="s">
        <v>66</v>
      </c>
      <c r="AX54" s="73"/>
      <c r="AY54" s="73"/>
      <c r="AZ54" s="74">
        <f>AZ25</f>
        <v>60</v>
      </c>
      <c r="BA54" s="74"/>
      <c r="BI54" s="7">
        <f t="shared" si="41"/>
        <v>1</v>
      </c>
      <c r="BJ54" s="11" t="str">
        <f>BN50</f>
        <v>Central</v>
      </c>
      <c r="BK54" s="34">
        <v>1</v>
      </c>
      <c r="BL54" s="11" t="s">
        <v>22</v>
      </c>
      <c r="BM54" s="34">
        <v>1</v>
      </c>
      <c r="BN54" s="11" t="s">
        <v>70</v>
      </c>
      <c r="BO54" s="7">
        <f t="shared" si="51"/>
        <v>1</v>
      </c>
      <c r="BP54" s="2">
        <f t="shared" si="42"/>
        <v>0</v>
      </c>
      <c r="BQ54" s="2">
        <f t="shared" si="43"/>
        <v>0</v>
      </c>
      <c r="BR54" s="2">
        <f t="shared" si="44"/>
        <v>1</v>
      </c>
      <c r="BS54" s="2">
        <f t="shared" si="45"/>
        <v>1</v>
      </c>
      <c r="BT54" s="2">
        <f t="shared" si="46"/>
        <v>0</v>
      </c>
      <c r="BU54" s="2">
        <f t="shared" si="47"/>
        <v>0</v>
      </c>
      <c r="CL54" s="62">
        <v>41728</v>
      </c>
      <c r="CM54" s="43"/>
      <c r="CN54" s="43" t="str">
        <f t="shared" ref="CN54:CN55" si="69">IF(BJ54="Central","Lacerdão",IF(BJ54="Porto","Lacerdão",IF(BJ54="Salgueiro","Cornélio de Barros",IF(BJ54="Vitória-PE","Carneirão",IF(BJ54="Serra Talhada","Nildo Pereira",IF(BJ54="Ypiranga","Otávio Limeira",IF(BJ54="América-PE","Ademir Cunha",IF(BJ54="Chã Grande","Carneirão",IF(BJ54="Pesqueira","Otávio Limeira","Estadio Indefinido")))))))))</f>
        <v>Lacerdão</v>
      </c>
      <c r="CO54" s="43"/>
    </row>
    <row r="55" spans="2:94">
      <c r="M55" s="7" t="str">
        <f t="shared" si="27"/>
        <v/>
      </c>
      <c r="S55" s="8" t="str">
        <f t="shared" si="28"/>
        <v/>
      </c>
      <c r="T55" s="2">
        <f t="shared" si="29"/>
        <v>0</v>
      </c>
      <c r="U55" s="2">
        <f t="shared" si="30"/>
        <v>0</v>
      </c>
      <c r="V55" s="2">
        <f t="shared" si="31"/>
        <v>0</v>
      </c>
      <c r="W55" s="2">
        <f t="shared" si="32"/>
        <v>0</v>
      </c>
      <c r="X55" s="2">
        <f t="shared" si="33"/>
        <v>0</v>
      </c>
      <c r="Y55" s="2">
        <f t="shared" si="34"/>
        <v>0</v>
      </c>
      <c r="BI55" s="7">
        <f t="shared" si="41"/>
        <v>0</v>
      </c>
      <c r="BJ55" s="11" t="str">
        <f>BJ50</f>
        <v>Porto</v>
      </c>
      <c r="BK55" s="34">
        <v>0</v>
      </c>
      <c r="BL55" s="11" t="s">
        <v>22</v>
      </c>
      <c r="BM55" s="34">
        <v>1</v>
      </c>
      <c r="BN55" s="11" t="str">
        <f>BJ49</f>
        <v>Salgueiro</v>
      </c>
      <c r="BO55" s="7">
        <f t="shared" si="51"/>
        <v>3</v>
      </c>
      <c r="BP55" s="2">
        <f t="shared" si="42"/>
        <v>0</v>
      </c>
      <c r="BQ55" s="2">
        <f t="shared" si="43"/>
        <v>1</v>
      </c>
      <c r="BR55" s="2">
        <f t="shared" si="44"/>
        <v>0</v>
      </c>
      <c r="BS55" s="2">
        <f t="shared" si="45"/>
        <v>0</v>
      </c>
      <c r="BT55" s="2">
        <f t="shared" si="46"/>
        <v>1</v>
      </c>
      <c r="BU55" s="2">
        <f t="shared" si="47"/>
        <v>0</v>
      </c>
      <c r="CL55" s="62">
        <v>41728</v>
      </c>
      <c r="CM55" s="43"/>
      <c r="CN55" s="43" t="str">
        <f t="shared" si="69"/>
        <v>Lacerdão</v>
      </c>
      <c r="CO55" s="43"/>
    </row>
    <row r="56" spans="2:94">
      <c r="M56" s="7" t="str">
        <f t="shared" si="27"/>
        <v/>
      </c>
      <c r="N56" s="80" t="s">
        <v>31</v>
      </c>
      <c r="O56" s="57"/>
      <c r="P56" s="57"/>
      <c r="Q56" s="57"/>
      <c r="R56" s="58"/>
      <c r="S56" s="8" t="str">
        <f t="shared" si="28"/>
        <v/>
      </c>
      <c r="T56" s="2">
        <f t="shared" si="29"/>
        <v>0</v>
      </c>
      <c r="U56" s="2">
        <f t="shared" si="30"/>
        <v>0</v>
      </c>
      <c r="V56" s="2">
        <f t="shared" si="31"/>
        <v>0</v>
      </c>
      <c r="W56" s="2">
        <f t="shared" si="32"/>
        <v>0</v>
      </c>
      <c r="X56" s="2">
        <f t="shared" si="33"/>
        <v>0</v>
      </c>
      <c r="Y56" s="2">
        <f t="shared" si="34"/>
        <v>0</v>
      </c>
      <c r="BI56" s="7">
        <f t="shared" si="41"/>
        <v>0</v>
      </c>
      <c r="BJ56" s="11" t="s">
        <v>71</v>
      </c>
      <c r="BK56" s="34">
        <v>0</v>
      </c>
      <c r="BL56" s="11" t="s">
        <v>22</v>
      </c>
      <c r="BM56" s="34">
        <v>1</v>
      </c>
      <c r="BN56" s="11" t="s">
        <v>72</v>
      </c>
      <c r="BO56" s="7">
        <f t="shared" si="51"/>
        <v>3</v>
      </c>
      <c r="BP56" s="2">
        <f t="shared" si="42"/>
        <v>0</v>
      </c>
      <c r="BQ56" s="2">
        <f t="shared" si="43"/>
        <v>1</v>
      </c>
      <c r="BR56" s="2">
        <f t="shared" si="44"/>
        <v>0</v>
      </c>
      <c r="BS56" s="2">
        <f t="shared" si="45"/>
        <v>0</v>
      </c>
      <c r="BT56" s="2">
        <f t="shared" si="46"/>
        <v>1</v>
      </c>
      <c r="BU56" s="2">
        <f t="shared" si="47"/>
        <v>0</v>
      </c>
      <c r="CL56" s="62">
        <v>41728</v>
      </c>
      <c r="CM56" s="43"/>
      <c r="CN56" s="43" t="s">
        <v>75</v>
      </c>
      <c r="CO56" s="43"/>
    </row>
    <row r="57" spans="2:94">
      <c r="M57" s="7">
        <f t="shared" si="27"/>
        <v>3</v>
      </c>
      <c r="N57" s="3" t="s">
        <v>21</v>
      </c>
      <c r="O57" s="37">
        <v>1</v>
      </c>
      <c r="P57" s="3" t="s">
        <v>22</v>
      </c>
      <c r="Q57" s="37">
        <v>0</v>
      </c>
      <c r="R57" s="3" t="s">
        <v>48</v>
      </c>
      <c r="S57" s="8">
        <f t="shared" si="28"/>
        <v>0</v>
      </c>
      <c r="T57" s="2">
        <f t="shared" si="29"/>
        <v>1</v>
      </c>
      <c r="U57" s="2">
        <f t="shared" si="30"/>
        <v>0</v>
      </c>
      <c r="V57" s="2">
        <f t="shared" si="31"/>
        <v>0</v>
      </c>
      <c r="W57" s="2">
        <f t="shared" si="32"/>
        <v>0</v>
      </c>
      <c r="X57" s="2">
        <f t="shared" si="33"/>
        <v>0</v>
      </c>
      <c r="Y57" s="2">
        <f t="shared" si="34"/>
        <v>1</v>
      </c>
      <c r="AP57" s="62">
        <v>41644</v>
      </c>
      <c r="AQ57" s="43"/>
      <c r="AR57" s="43" t="s">
        <v>56</v>
      </c>
      <c r="AS57" s="43"/>
    </row>
    <row r="58" spans="2:94">
      <c r="M58" s="7">
        <f t="shared" si="27"/>
        <v>3</v>
      </c>
      <c r="N58" s="3" t="s">
        <v>14</v>
      </c>
      <c r="O58" s="37">
        <v>2</v>
      </c>
      <c r="P58" s="3" t="s">
        <v>22</v>
      </c>
      <c r="Q58" s="37">
        <v>0</v>
      </c>
      <c r="R58" s="3" t="s">
        <v>16</v>
      </c>
      <c r="S58" s="8">
        <f t="shared" si="28"/>
        <v>0</v>
      </c>
      <c r="T58" s="2">
        <f t="shared" si="29"/>
        <v>1</v>
      </c>
      <c r="U58" s="2">
        <f t="shared" si="30"/>
        <v>0</v>
      </c>
      <c r="V58" s="2">
        <f t="shared" si="31"/>
        <v>0</v>
      </c>
      <c r="W58" s="2">
        <f t="shared" si="32"/>
        <v>0</v>
      </c>
      <c r="X58" s="2">
        <f t="shared" si="33"/>
        <v>0</v>
      </c>
      <c r="Y58" s="2">
        <f t="shared" si="34"/>
        <v>1</v>
      </c>
      <c r="AP58" s="62">
        <v>41644</v>
      </c>
      <c r="AQ58" s="43"/>
      <c r="AR58" s="43" t="s">
        <v>51</v>
      </c>
      <c r="AS58" s="43"/>
    </row>
    <row r="59" spans="2:94">
      <c r="M59" s="7">
        <f t="shared" si="27"/>
        <v>1</v>
      </c>
      <c r="N59" s="3" t="s">
        <v>24</v>
      </c>
      <c r="O59" s="37">
        <v>1</v>
      </c>
      <c r="P59" s="3" t="s">
        <v>22</v>
      </c>
      <c r="Q59" s="37">
        <v>1</v>
      </c>
      <c r="R59" s="3" t="s">
        <v>18</v>
      </c>
      <c r="S59" s="8">
        <f t="shared" si="28"/>
        <v>1</v>
      </c>
      <c r="T59" s="2">
        <f t="shared" si="29"/>
        <v>0</v>
      </c>
      <c r="U59" s="2">
        <f t="shared" si="30"/>
        <v>0</v>
      </c>
      <c r="V59" s="2">
        <f t="shared" si="31"/>
        <v>1</v>
      </c>
      <c r="W59" s="2">
        <f t="shared" si="32"/>
        <v>1</v>
      </c>
      <c r="X59" s="2">
        <f t="shared" si="33"/>
        <v>0</v>
      </c>
      <c r="Y59" s="2">
        <f t="shared" si="34"/>
        <v>0</v>
      </c>
      <c r="AP59" s="62">
        <v>41645</v>
      </c>
      <c r="AQ59" s="43"/>
      <c r="AR59" s="43" t="s">
        <v>57</v>
      </c>
      <c r="AS59" s="43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</row>
    <row r="60" spans="2:94">
      <c r="M60" s="7">
        <f t="shared" si="27"/>
        <v>1</v>
      </c>
      <c r="N60" s="3" t="s">
        <v>20</v>
      </c>
      <c r="O60" s="37">
        <v>0</v>
      </c>
      <c r="P60" s="3" t="s">
        <v>22</v>
      </c>
      <c r="Q60" s="37">
        <v>0</v>
      </c>
      <c r="R60" s="3" t="s">
        <v>15</v>
      </c>
      <c r="S60" s="8">
        <f t="shared" si="28"/>
        <v>1</v>
      </c>
      <c r="T60" s="2">
        <f t="shared" si="29"/>
        <v>0</v>
      </c>
      <c r="U60" s="2">
        <f t="shared" si="30"/>
        <v>0</v>
      </c>
      <c r="V60" s="2">
        <f t="shared" si="31"/>
        <v>1</v>
      </c>
      <c r="W60" s="2">
        <f t="shared" si="32"/>
        <v>1</v>
      </c>
      <c r="X60" s="2">
        <f t="shared" si="33"/>
        <v>0</v>
      </c>
      <c r="Y60" s="2">
        <f t="shared" si="34"/>
        <v>0</v>
      </c>
      <c r="AP60" s="62">
        <v>41645</v>
      </c>
      <c r="AQ60" s="43"/>
      <c r="AR60" s="43" t="s">
        <v>54</v>
      </c>
      <c r="AS60" s="43"/>
    </row>
    <row r="61" spans="2:94">
      <c r="M61" s="7" t="str">
        <f t="shared" si="27"/>
        <v/>
      </c>
      <c r="S61" s="8" t="str">
        <f t="shared" si="28"/>
        <v/>
      </c>
      <c r="T61" s="2">
        <f t="shared" si="29"/>
        <v>0</v>
      </c>
      <c r="U61" s="2">
        <f t="shared" si="30"/>
        <v>0</v>
      </c>
      <c r="V61" s="2">
        <f t="shared" si="31"/>
        <v>0</v>
      </c>
      <c r="W61" s="2">
        <f t="shared" si="32"/>
        <v>0</v>
      </c>
      <c r="X61" s="2">
        <f t="shared" si="33"/>
        <v>0</v>
      </c>
      <c r="Y61" s="2">
        <f t="shared" si="34"/>
        <v>0</v>
      </c>
      <c r="AW61" s="5" t="s">
        <v>0</v>
      </c>
      <c r="AX61" s="5" t="s">
        <v>1</v>
      </c>
      <c r="AY61" s="5" t="s">
        <v>2</v>
      </c>
      <c r="AZ61" s="5" t="s">
        <v>3</v>
      </c>
      <c r="BA61" s="5" t="s">
        <v>4</v>
      </c>
      <c r="BB61" s="5" t="s">
        <v>1</v>
      </c>
      <c r="BC61" s="5" t="s">
        <v>5</v>
      </c>
      <c r="BD61" s="5" t="s">
        <v>6</v>
      </c>
      <c r="BE61" s="5" t="s">
        <v>7</v>
      </c>
      <c r="BF61" s="5" t="s">
        <v>8</v>
      </c>
      <c r="BG61" s="5" t="s">
        <v>9</v>
      </c>
      <c r="BJ61" s="5" t="s">
        <v>10</v>
      </c>
      <c r="BK61" s="5" t="s">
        <v>13</v>
      </c>
      <c r="BL61" s="5" t="s">
        <v>11</v>
      </c>
      <c r="BM61" s="5" t="s">
        <v>13</v>
      </c>
      <c r="BN61" s="5" t="s">
        <v>12</v>
      </c>
      <c r="BO61" s="7"/>
    </row>
    <row r="62" spans="2:94">
      <c r="B62" s="42" t="s">
        <v>60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7" t="str">
        <f t="shared" si="27"/>
        <v/>
      </c>
      <c r="N62" s="80" t="s">
        <v>32</v>
      </c>
      <c r="O62" s="57"/>
      <c r="P62" s="57"/>
      <c r="Q62" s="57"/>
      <c r="R62" s="58"/>
      <c r="S62" s="8" t="str">
        <f t="shared" si="28"/>
        <v/>
      </c>
      <c r="T62" s="2">
        <f t="shared" si="29"/>
        <v>0</v>
      </c>
      <c r="U62" s="2">
        <f t="shared" si="30"/>
        <v>0</v>
      </c>
      <c r="V62" s="2">
        <f t="shared" si="31"/>
        <v>0</v>
      </c>
      <c r="W62" s="2">
        <f t="shared" si="32"/>
        <v>0</v>
      </c>
      <c r="X62" s="2">
        <f t="shared" si="33"/>
        <v>0</v>
      </c>
      <c r="Y62" s="2">
        <f t="shared" si="34"/>
        <v>0</v>
      </c>
      <c r="AW62" s="4">
        <v>1</v>
      </c>
      <c r="AX62" s="17" t="str">
        <f>VLOOKUP(CJ64,BW$64:CG$69,2)</f>
        <v>Pesqueira</v>
      </c>
      <c r="AY62" s="13">
        <f>VLOOKUP(CJ64,BW$64:CG$69,3)</f>
        <v>20</v>
      </c>
      <c r="AZ62" s="13">
        <f>VLOOKUP(CJ64,BW$64:CG$69,4)</f>
        <v>10</v>
      </c>
      <c r="BA62" s="13">
        <f>VLOOKUP(CJ64,BW$64:CG$69,5)</f>
        <v>6</v>
      </c>
      <c r="BB62" s="13">
        <f>VLOOKUP(CJ64,BW$64:CG$69,6)</f>
        <v>2</v>
      </c>
      <c r="BC62" s="13">
        <f>VLOOKUP(CJ64,BW$64:CG$69,7)</f>
        <v>2</v>
      </c>
      <c r="BD62" s="13">
        <f>VLOOKUP(CJ64,BW$64:CG$69,8)</f>
        <v>12</v>
      </c>
      <c r="BE62" s="13">
        <f>VLOOKUP(CJ64,BW$64:CG$69,9)</f>
        <v>6</v>
      </c>
      <c r="BF62" s="13">
        <f>VLOOKUP(CJ64,BW$64:CG$69,10)</f>
        <v>6</v>
      </c>
      <c r="BG62" s="14">
        <f>VLOOKUP(CJ64,BW$64:CG$69,11)</f>
        <v>0.66666666666666663</v>
      </c>
      <c r="BO62" s="7"/>
    </row>
    <row r="63" spans="2:94">
      <c r="M63" s="7">
        <f t="shared" si="27"/>
        <v>3</v>
      </c>
      <c r="N63" s="3" t="s">
        <v>14</v>
      </c>
      <c r="O63" s="39">
        <v>1</v>
      </c>
      <c r="P63" s="3" t="s">
        <v>22</v>
      </c>
      <c r="Q63" s="37">
        <v>0</v>
      </c>
      <c r="R63" s="3" t="s">
        <v>48</v>
      </c>
      <c r="S63" s="8">
        <f t="shared" si="28"/>
        <v>0</v>
      </c>
      <c r="T63" s="2">
        <f t="shared" si="29"/>
        <v>1</v>
      </c>
      <c r="U63" s="2">
        <f t="shared" si="30"/>
        <v>0</v>
      </c>
      <c r="V63" s="2">
        <f t="shared" si="31"/>
        <v>0</v>
      </c>
      <c r="W63" s="2">
        <f t="shared" si="32"/>
        <v>0</v>
      </c>
      <c r="X63" s="2">
        <f t="shared" si="33"/>
        <v>0</v>
      </c>
      <c r="Y63" s="2">
        <f t="shared" si="34"/>
        <v>1</v>
      </c>
      <c r="AP63" s="62">
        <v>41648</v>
      </c>
      <c r="AQ63" s="43"/>
      <c r="AR63" s="43" t="s">
        <v>51</v>
      </c>
      <c r="AS63" s="43"/>
      <c r="AW63" s="13">
        <v>2</v>
      </c>
      <c r="AX63" s="17" t="str">
        <f t="shared" ref="AX63:AX67" si="70">VLOOKUP(CJ65,BW$64:CG$69,2)</f>
        <v>Serra Talhada</v>
      </c>
      <c r="AY63" s="18">
        <f t="shared" ref="AY63:AY66" si="71">VLOOKUP(CJ65,BW$64:CG$69,3)</f>
        <v>18</v>
      </c>
      <c r="AZ63" s="18">
        <f t="shared" ref="AZ63:AZ67" si="72">VLOOKUP(CJ65,BW$64:CG$69,4)</f>
        <v>10</v>
      </c>
      <c r="BA63" s="18">
        <f t="shared" ref="BA63:BA67" si="73">VLOOKUP(CJ65,BW$64:CG$69,5)</f>
        <v>5</v>
      </c>
      <c r="BB63" s="18">
        <f t="shared" ref="BB63:BB67" si="74">VLOOKUP(CJ65,BW$64:CG$69,6)</f>
        <v>3</v>
      </c>
      <c r="BC63" s="18">
        <f t="shared" ref="BC63:BC67" si="75">VLOOKUP(CJ65,BW$64:CG$69,7)</f>
        <v>2</v>
      </c>
      <c r="BD63" s="18">
        <f t="shared" ref="BD63:BD67" si="76">VLOOKUP(CJ65,BW$64:CG$69,8)</f>
        <v>11</v>
      </c>
      <c r="BE63" s="18">
        <f t="shared" ref="BE63:BE67" si="77">VLOOKUP(CJ65,BW$64:CG$69,9)</f>
        <v>10</v>
      </c>
      <c r="BF63" s="18">
        <f t="shared" ref="BF63:BF67" si="78">VLOOKUP(CJ65,BW$64:CG$69,10)</f>
        <v>1</v>
      </c>
      <c r="BG63" s="19">
        <f t="shared" ref="BG63:BG67" si="79">VLOOKUP(CJ65,BW$64:CG$69,11)</f>
        <v>0.6</v>
      </c>
      <c r="BJ63" s="80" t="s">
        <v>17</v>
      </c>
      <c r="BK63" s="57"/>
      <c r="BL63" s="57"/>
      <c r="BM63" s="57"/>
      <c r="BN63" s="58"/>
      <c r="BO63" s="7"/>
      <c r="BP63" s="13" t="s">
        <v>41</v>
      </c>
      <c r="BQ63" s="13" t="s">
        <v>42</v>
      </c>
      <c r="BR63" s="13" t="s">
        <v>10</v>
      </c>
      <c r="BS63" s="13" t="s">
        <v>12</v>
      </c>
      <c r="BT63" s="13" t="s">
        <v>43</v>
      </c>
      <c r="BU63" s="13" t="s">
        <v>44</v>
      </c>
      <c r="BW63" s="5" t="s">
        <v>0</v>
      </c>
      <c r="BX63" s="5" t="s">
        <v>1</v>
      </c>
      <c r="BY63" s="5" t="s">
        <v>2</v>
      </c>
      <c r="BZ63" s="5" t="s">
        <v>3</v>
      </c>
      <c r="CA63" s="5" t="s">
        <v>4</v>
      </c>
      <c r="CB63" s="5" t="s">
        <v>1</v>
      </c>
      <c r="CC63" s="5" t="s">
        <v>5</v>
      </c>
      <c r="CD63" s="5" t="s">
        <v>6</v>
      </c>
      <c r="CE63" s="5" t="s">
        <v>7</v>
      </c>
      <c r="CF63" s="5" t="s">
        <v>8</v>
      </c>
      <c r="CG63" s="5" t="s">
        <v>9</v>
      </c>
      <c r="CH63" s="5" t="s">
        <v>45</v>
      </c>
      <c r="CI63" s="5" t="s">
        <v>46</v>
      </c>
      <c r="CJ63" s="5" t="s">
        <v>47</v>
      </c>
      <c r="CL63" s="42" t="s">
        <v>49</v>
      </c>
      <c r="CM63" s="42"/>
      <c r="CN63" s="42" t="s">
        <v>50</v>
      </c>
      <c r="CO63" s="42"/>
    </row>
    <row r="64" spans="2:94">
      <c r="B64" s="73" t="str">
        <f>B40</f>
        <v>Classificados</v>
      </c>
      <c r="C64" s="73"/>
      <c r="D64" s="73"/>
      <c r="E64" s="44" t="str">
        <f>E40</f>
        <v>Salgueiro</v>
      </c>
      <c r="F64" s="45"/>
      <c r="G64" s="44" t="str">
        <f>G40</f>
        <v>Central</v>
      </c>
      <c r="H64" s="45"/>
      <c r="I64" s="44" t="str">
        <f>I40</f>
        <v>Porto</v>
      </c>
      <c r="J64" s="41"/>
      <c r="K64" s="45"/>
      <c r="M64" s="7">
        <f t="shared" si="27"/>
        <v>0</v>
      </c>
      <c r="N64" s="3" t="s">
        <v>16</v>
      </c>
      <c r="O64" s="37">
        <v>0</v>
      </c>
      <c r="P64" s="3" t="s">
        <v>22</v>
      </c>
      <c r="Q64" s="37">
        <v>1</v>
      </c>
      <c r="R64" s="3" t="s">
        <v>15</v>
      </c>
      <c r="S64" s="8">
        <f t="shared" si="28"/>
        <v>3</v>
      </c>
      <c r="T64" s="2">
        <f t="shared" si="29"/>
        <v>0</v>
      </c>
      <c r="U64" s="2">
        <f t="shared" si="30"/>
        <v>1</v>
      </c>
      <c r="V64" s="2">
        <f t="shared" si="31"/>
        <v>0</v>
      </c>
      <c r="W64" s="2">
        <f t="shared" si="32"/>
        <v>0</v>
      </c>
      <c r="X64" s="2">
        <f t="shared" si="33"/>
        <v>1</v>
      </c>
      <c r="Y64" s="2">
        <f t="shared" si="34"/>
        <v>0</v>
      </c>
      <c r="AP64" s="62">
        <v>41648</v>
      </c>
      <c r="AQ64" s="43"/>
      <c r="AR64" s="43" t="s">
        <v>55</v>
      </c>
      <c r="AS64" s="43"/>
      <c r="AW64" s="13">
        <v>3</v>
      </c>
      <c r="AX64" s="17" t="str">
        <f t="shared" si="70"/>
        <v>Ypiranga</v>
      </c>
      <c r="AY64" s="18">
        <f t="shared" si="71"/>
        <v>14</v>
      </c>
      <c r="AZ64" s="18">
        <f t="shared" si="72"/>
        <v>10</v>
      </c>
      <c r="BA64" s="18">
        <f t="shared" si="73"/>
        <v>3</v>
      </c>
      <c r="BB64" s="18">
        <f t="shared" si="74"/>
        <v>5</v>
      </c>
      <c r="BC64" s="18">
        <f t="shared" si="75"/>
        <v>2</v>
      </c>
      <c r="BD64" s="18">
        <f t="shared" si="76"/>
        <v>10</v>
      </c>
      <c r="BE64" s="18">
        <f t="shared" si="77"/>
        <v>6</v>
      </c>
      <c r="BF64" s="18">
        <f t="shared" si="78"/>
        <v>4</v>
      </c>
      <c r="BG64" s="19">
        <f t="shared" si="79"/>
        <v>0.46666666666666667</v>
      </c>
      <c r="BI64" s="7">
        <f>IF(OR(BK64="",BM64=""),"",IF(BK64=BM64,1,IF(BK64&gt;BM64,3,0)))</f>
        <v>1</v>
      </c>
      <c r="BJ64" s="18" t="str">
        <f>BX64</f>
        <v>Vitória-PE</v>
      </c>
      <c r="BK64" s="34">
        <v>2</v>
      </c>
      <c r="BL64" s="18" t="s">
        <v>22</v>
      </c>
      <c r="BM64" s="34">
        <v>2</v>
      </c>
      <c r="BN64" s="18" t="str">
        <f>BX66</f>
        <v>Chã Grande</v>
      </c>
      <c r="BO64" s="8">
        <f>IF(OR(BK64="",BM64=""),"",IF(BK64=BM64,1,IF(BM64&gt;BK64,3,0)))</f>
        <v>1</v>
      </c>
      <c r="BP64" s="2">
        <f>IF(BI64=3,1,0)</f>
        <v>0</v>
      </c>
      <c r="BQ64" s="2">
        <f>IF(BO64=3,1,0)</f>
        <v>0</v>
      </c>
      <c r="BR64" s="2">
        <f>IF(BI64=1,1,0)</f>
        <v>1</v>
      </c>
      <c r="BS64" s="2">
        <f>IF(BO64=1,1,0)</f>
        <v>1</v>
      </c>
      <c r="BT64" s="2">
        <f>IF(BI64=0,1,0)</f>
        <v>0</v>
      </c>
      <c r="BU64" s="2">
        <f>IF(BO64=0,1,0)</f>
        <v>0</v>
      </c>
      <c r="BW64" s="4">
        <v>1</v>
      </c>
      <c r="BX64" s="13" t="str">
        <f>IF(SUM(D7:D15)=144,B11,"5º  Colocado do...")</f>
        <v>Vitória-PE</v>
      </c>
      <c r="BY64" s="13">
        <f>SUM(BI64,BO70,BO74,BI81,BO86,BO89,BI95,BI100,BO105,BI109)</f>
        <v>4</v>
      </c>
      <c r="BZ64" s="13">
        <f>SUM(CA64,CB64,CC64)</f>
        <v>10</v>
      </c>
      <c r="CA64" s="13">
        <f>SUMIF(BJ$64:BJ$111,BX64,BP$64:BP$111)+(SUMIF(BN$64:BN$111,BX64,BQ$64:BQ$111))</f>
        <v>1</v>
      </c>
      <c r="CB64" s="13">
        <f>SUMIF(BJ$64:BJ$111,BX64,BR$64:BR$111)+(SUMIF(BN$64:BN$111,BX64,BS$64:BS$111))</f>
        <v>1</v>
      </c>
      <c r="CC64" s="13">
        <f>SUMIF(BJ$64:BJ$111,BX64,BT$64:BT$111)+(SUMIF(BN$64:BN$111,BX64,BU$64:BU$111))</f>
        <v>8</v>
      </c>
      <c r="CD64" s="13">
        <f>SUM(BK64,BM70,BM74,BK81,BM86,BM89,BK95,BK100,BM105,BK109)</f>
        <v>9</v>
      </c>
      <c r="CE64" s="13">
        <f>SUM(BM64,BK70,BK74,BM81,BK86,BK89,BM95,BM100,BK105,BM109)</f>
        <v>17</v>
      </c>
      <c r="CF64" s="13">
        <f t="shared" ref="CF64:CF69" si="80">CD64-CE64</f>
        <v>-8</v>
      </c>
      <c r="CG64" s="13">
        <f t="shared" ref="CG64:CG69" si="81">IF(BZ64=0,"0%",(BY64/(3*BZ64)))</f>
        <v>0.13333333333333333</v>
      </c>
      <c r="CH64" s="18">
        <f>(BY64*10^10)+(CF64+50)*(10^6)+(CD64*10)+BW64</f>
        <v>40042000091</v>
      </c>
      <c r="CI64" s="18">
        <f>LARGE(CH$64:CH$69,BW64)</f>
        <v>200056000124</v>
      </c>
      <c r="CJ64" s="18">
        <f>MATCH(CI64,CH$64:CH$69,0)</f>
        <v>4</v>
      </c>
      <c r="CL64" s="62">
        <v>41682</v>
      </c>
      <c r="CM64" s="43"/>
      <c r="CN64" s="43" t="str">
        <f>IF(BJ64="Central","Lacerdão",IF(BJ64="Porto","Lacerdão",IF(BJ64="Salgueiro","Cornélio de Barros",IF(BJ64="Vitória-PE","Carneirão",IF(BJ64="Serra Talhada","Nildo Pereira",IF(BJ64="Ypiranga","Otávio Limeira",IF(BJ64="América-PE","Ademir Cunha",IF(BJ64="Chã Grande","Carneirão",IF(BJ64="Pesqueira","Otávio Limeira","Estadio Indefinido")))))))))</f>
        <v>Carneirão</v>
      </c>
      <c r="CO64" s="43"/>
    </row>
    <row r="65" spans="2:93">
      <c r="G65" s="75"/>
      <c r="H65" s="75"/>
      <c r="I65" s="75"/>
      <c r="J65" s="75"/>
      <c r="K65" s="75"/>
      <c r="M65" s="7">
        <f t="shared" si="27"/>
        <v>1</v>
      </c>
      <c r="N65" s="3" t="s">
        <v>19</v>
      </c>
      <c r="O65" s="37">
        <v>1</v>
      </c>
      <c r="P65" s="3" t="s">
        <v>22</v>
      </c>
      <c r="Q65" s="37">
        <v>1</v>
      </c>
      <c r="R65" s="3" t="s">
        <v>18</v>
      </c>
      <c r="S65" s="8">
        <f t="shared" si="28"/>
        <v>1</v>
      </c>
      <c r="T65" s="2">
        <f t="shared" si="29"/>
        <v>0</v>
      </c>
      <c r="U65" s="2">
        <f t="shared" si="30"/>
        <v>0</v>
      </c>
      <c r="V65" s="2">
        <f t="shared" si="31"/>
        <v>1</v>
      </c>
      <c r="W65" s="2">
        <f t="shared" si="32"/>
        <v>1</v>
      </c>
      <c r="X65" s="2">
        <f t="shared" si="33"/>
        <v>0</v>
      </c>
      <c r="Y65" s="2">
        <f t="shared" si="34"/>
        <v>0</v>
      </c>
      <c r="AP65" s="62">
        <v>41648</v>
      </c>
      <c r="AQ65" s="43"/>
      <c r="AR65" s="43" t="s">
        <v>53</v>
      </c>
      <c r="AS65" s="43"/>
      <c r="AW65" s="13">
        <v>4</v>
      </c>
      <c r="AX65" s="17" t="str">
        <f t="shared" si="70"/>
        <v>América-PE</v>
      </c>
      <c r="AY65" s="18">
        <f t="shared" si="71"/>
        <v>14</v>
      </c>
      <c r="AZ65" s="18">
        <f t="shared" si="72"/>
        <v>10</v>
      </c>
      <c r="BA65" s="18">
        <f t="shared" si="73"/>
        <v>4</v>
      </c>
      <c r="BB65" s="18">
        <f t="shared" si="74"/>
        <v>2</v>
      </c>
      <c r="BC65" s="18">
        <f t="shared" si="75"/>
        <v>4</v>
      </c>
      <c r="BD65" s="18">
        <f t="shared" si="76"/>
        <v>7</v>
      </c>
      <c r="BE65" s="18">
        <f t="shared" si="77"/>
        <v>9</v>
      </c>
      <c r="BF65" s="18">
        <f t="shared" si="78"/>
        <v>-2</v>
      </c>
      <c r="BG65" s="19">
        <f t="shared" si="79"/>
        <v>0.46666666666666667</v>
      </c>
      <c r="BI65" s="7">
        <f t="shared" ref="BI65:BI111" si="82">IF(OR(BK65="",BM65=""),"",IF(BK65=BM65,1,IF(BK65&gt;BM65,3,0)))</f>
        <v>1</v>
      </c>
      <c r="BJ65" s="18" t="str">
        <f>BX68</f>
        <v>Ypiranga</v>
      </c>
      <c r="BK65" s="34">
        <v>0</v>
      </c>
      <c r="BL65" s="18" t="s">
        <v>22</v>
      </c>
      <c r="BM65" s="34">
        <v>0</v>
      </c>
      <c r="BN65" s="18" t="str">
        <f>BX69</f>
        <v>América-PE</v>
      </c>
      <c r="BO65" s="7">
        <f>IF(OR(BK65="",BM65=""),"",IF(BK65=BM65,1,IF(BM65&gt;BK65,3,0)))</f>
        <v>1</v>
      </c>
      <c r="BP65" s="2">
        <f t="shared" ref="BP65:BP75" si="83">IF(BI65=3,1,0)</f>
        <v>0</v>
      </c>
      <c r="BQ65" s="2">
        <f t="shared" ref="BQ65:BQ111" si="84">IF(BO65=3,1,0)</f>
        <v>0</v>
      </c>
      <c r="BR65" s="2">
        <f t="shared" ref="BR65:BR111" si="85">IF(BI65=1,1,0)</f>
        <v>1</v>
      </c>
      <c r="BS65" s="2">
        <f t="shared" ref="BS65:BS111" si="86">IF(BO65=1,1,0)</f>
        <v>1</v>
      </c>
      <c r="BT65" s="2">
        <f t="shared" ref="BT65:BT111" si="87">IF(BI65=0,1,0)</f>
        <v>0</v>
      </c>
      <c r="BU65" s="2">
        <f t="shared" ref="BU65:BU111" si="88">IF(BO65=0,1,0)</f>
        <v>0</v>
      </c>
      <c r="BW65" s="13">
        <v>2</v>
      </c>
      <c r="BX65" s="13" t="str">
        <f>IF(SUM(D7:D15)=144,B10,"4º  Colocado do...")</f>
        <v>Serra Talhada</v>
      </c>
      <c r="BY65" s="13">
        <f>SUM(BI66,BO69,BI74,BI80,BO84,BO90,BI94,BO100,BO104,BI110)</f>
        <v>18</v>
      </c>
      <c r="BZ65" s="13">
        <f t="shared" ref="BZ65:BZ69" si="89">SUM(CA65,CB65,CC65)</f>
        <v>10</v>
      </c>
      <c r="CA65" s="18">
        <f t="shared" ref="CA65:CA68" si="90">SUMIF(BJ$64:BJ$111,BX65,BP$64:BP$111)+(SUMIF(BN$64:BN$111,BX65,BQ$64:BQ$111))</f>
        <v>5</v>
      </c>
      <c r="CB65" s="18">
        <f t="shared" ref="CB65:CB68" si="91">SUMIF(BJ$64:BJ$111,BX65,BR$64:BR$111)+(SUMIF(BN$64:BN$111,BX65,BS$64:BS$111))</f>
        <v>3</v>
      </c>
      <c r="CC65" s="18">
        <f t="shared" ref="CC65:CC68" si="92">SUMIF(BJ$64:BJ$111,BX65,BT$64:BT$111)+(SUMIF(BN$64:BN$111,BX65,BU$64:BU$111))</f>
        <v>2</v>
      </c>
      <c r="CD65" s="13">
        <f>SUM(BK66,BM69,BK74,BK80,BM84,BM90,BK94,BM100,BM104,BK110)</f>
        <v>11</v>
      </c>
      <c r="CE65" s="13">
        <f>SUM(BM66,BK69,BM74,BM80,BK84,BK90,BM94,BK100,BK104,BM110)</f>
        <v>10</v>
      </c>
      <c r="CF65" s="13">
        <f t="shared" si="80"/>
        <v>1</v>
      </c>
      <c r="CG65" s="13">
        <f t="shared" si="81"/>
        <v>0.6</v>
      </c>
      <c r="CH65" s="18">
        <f>(BY65*10^10)+(CF65+50)*(10^6)+(CD65*10)+BW65</f>
        <v>180051000112</v>
      </c>
      <c r="CI65" s="18">
        <f t="shared" ref="CI65:CI68" si="93">LARGE(CH$64:CH$69,BW65)</f>
        <v>180051000112</v>
      </c>
      <c r="CJ65" s="18">
        <f t="shared" ref="CJ65:CJ68" si="94">MATCH(CI65,CH$64:CH$69,0)</f>
        <v>2</v>
      </c>
      <c r="CL65" s="62">
        <v>41682</v>
      </c>
      <c r="CM65" s="43"/>
      <c r="CN65" s="43" t="str">
        <f t="shared" ref="CN65:CN66" si="95">IF(BJ65="Central","Lacerdão",IF(BJ65="Porto","Lacerdão",IF(BJ65="Salgueiro","Cornélio de Barros",IF(BJ65="Vitória-PE","Carneirão",IF(BJ65="Serra Talhada","Nildo Pereira",IF(BJ65="Ypiranga","Otávio Limeira",IF(BJ65="América-PE","Ademir Cunha",IF(BJ65="Chã Grande","Carneirão",IF(BJ65="Pesqueira","Otávio Limeira","Estadio Indefinido")))))))))</f>
        <v>Otávio Limeira</v>
      </c>
      <c r="CO65" s="43"/>
    </row>
    <row r="66" spans="2:93">
      <c r="B66" s="73" t="s">
        <v>61</v>
      </c>
      <c r="C66" s="73"/>
      <c r="D66" s="73"/>
      <c r="E66" s="43">
        <f>E42</f>
        <v>11</v>
      </c>
      <c r="F66" s="43"/>
      <c r="M66" s="7">
        <f t="shared" si="27"/>
        <v>0</v>
      </c>
      <c r="N66" s="3" t="s">
        <v>21</v>
      </c>
      <c r="O66" s="37">
        <v>1</v>
      </c>
      <c r="P66" s="3" t="s">
        <v>22</v>
      </c>
      <c r="Q66" s="37">
        <v>2</v>
      </c>
      <c r="R66" s="3" t="s">
        <v>20</v>
      </c>
      <c r="S66" s="8">
        <f t="shared" si="28"/>
        <v>3</v>
      </c>
      <c r="T66" s="2">
        <f t="shared" si="29"/>
        <v>0</v>
      </c>
      <c r="U66" s="2">
        <f t="shared" si="30"/>
        <v>1</v>
      </c>
      <c r="V66" s="2">
        <f t="shared" si="31"/>
        <v>0</v>
      </c>
      <c r="W66" s="2">
        <f t="shared" si="32"/>
        <v>0</v>
      </c>
      <c r="X66" s="2">
        <f t="shared" si="33"/>
        <v>1</v>
      </c>
      <c r="Y66" s="2">
        <f t="shared" si="34"/>
        <v>0</v>
      </c>
      <c r="AP66" s="62">
        <v>41648</v>
      </c>
      <c r="AQ66" s="43"/>
      <c r="AR66" s="43" t="s">
        <v>56</v>
      </c>
      <c r="AS66" s="43"/>
      <c r="AW66" s="13">
        <v>5</v>
      </c>
      <c r="AX66" s="16" t="str">
        <f t="shared" si="70"/>
        <v>Chã Grande</v>
      </c>
      <c r="AY66" s="18">
        <f t="shared" si="71"/>
        <v>11</v>
      </c>
      <c r="AZ66" s="18">
        <f t="shared" si="72"/>
        <v>10</v>
      </c>
      <c r="BA66" s="18">
        <f t="shared" si="73"/>
        <v>2</v>
      </c>
      <c r="BB66" s="18">
        <f t="shared" si="74"/>
        <v>5</v>
      </c>
      <c r="BC66" s="18">
        <f t="shared" si="75"/>
        <v>3</v>
      </c>
      <c r="BD66" s="18">
        <f t="shared" si="76"/>
        <v>10</v>
      </c>
      <c r="BE66" s="18">
        <f t="shared" si="77"/>
        <v>11</v>
      </c>
      <c r="BF66" s="18">
        <f t="shared" si="78"/>
        <v>-1</v>
      </c>
      <c r="BG66" s="19">
        <f t="shared" si="79"/>
        <v>0.36666666666666664</v>
      </c>
      <c r="BI66" s="7">
        <f t="shared" si="82"/>
        <v>3</v>
      </c>
      <c r="BJ66" s="18" t="str">
        <f>BX65</f>
        <v>Serra Talhada</v>
      </c>
      <c r="BK66" s="34">
        <v>1</v>
      </c>
      <c r="BL66" s="18" t="s">
        <v>22</v>
      </c>
      <c r="BM66" s="34">
        <v>0</v>
      </c>
      <c r="BN66" s="18" t="str">
        <f>BX67</f>
        <v>Pesqueira</v>
      </c>
      <c r="BO66" s="7">
        <f t="shared" ref="BO66:BO111" si="96">IF(OR(BK66="",BM66=""),"",IF(BK66=BM66,1,IF(BM66&gt;BK66,3,0)))</f>
        <v>0</v>
      </c>
      <c r="BP66" s="2">
        <f t="shared" si="83"/>
        <v>1</v>
      </c>
      <c r="BQ66" s="2">
        <f t="shared" si="84"/>
        <v>0</v>
      </c>
      <c r="BR66" s="2">
        <f t="shared" si="85"/>
        <v>0</v>
      </c>
      <c r="BS66" s="2">
        <f t="shared" si="86"/>
        <v>0</v>
      </c>
      <c r="BT66" s="2">
        <f t="shared" si="87"/>
        <v>0</v>
      </c>
      <c r="BU66" s="2">
        <f t="shared" si="88"/>
        <v>1</v>
      </c>
      <c r="BW66" s="13">
        <v>3</v>
      </c>
      <c r="BX66" s="13" t="str">
        <f>IF(SUM(D7:D15)=144,B12,"6º  Colocado do...")</f>
        <v>Chã Grande</v>
      </c>
      <c r="BY66" s="13">
        <f>SUM(BO64,BI69,BO76,BI79,BO85,BI89,BO94,BI99,BO106,BI111)</f>
        <v>11</v>
      </c>
      <c r="BZ66" s="13">
        <f t="shared" si="89"/>
        <v>10</v>
      </c>
      <c r="CA66" s="18">
        <f t="shared" si="90"/>
        <v>2</v>
      </c>
      <c r="CB66" s="18">
        <f t="shared" si="91"/>
        <v>5</v>
      </c>
      <c r="CC66" s="18">
        <f t="shared" si="92"/>
        <v>3</v>
      </c>
      <c r="CD66" s="13">
        <f>SUM(BM64,BK69,BM76,BK79,BM85,BK89,BM94,BK99,BM106,BK111)</f>
        <v>10</v>
      </c>
      <c r="CE66" s="13">
        <f>SUM(BK64,BM69,BK76,BM79,BK85,BM89,BK94,BM99,BK106,BM111)</f>
        <v>11</v>
      </c>
      <c r="CF66" s="13">
        <f t="shared" si="80"/>
        <v>-1</v>
      </c>
      <c r="CG66" s="13">
        <f t="shared" si="81"/>
        <v>0.36666666666666664</v>
      </c>
      <c r="CH66" s="18">
        <f t="shared" ref="CH66:CH68" si="97">(BY66*10^10)+(CF66+50)*(10^6)+(CD66*10)+BW66</f>
        <v>110049000103</v>
      </c>
      <c r="CI66" s="18">
        <f t="shared" si="93"/>
        <v>140054000105</v>
      </c>
      <c r="CJ66" s="18">
        <f t="shared" si="94"/>
        <v>5</v>
      </c>
      <c r="CL66" s="62">
        <v>41683</v>
      </c>
      <c r="CM66" s="43"/>
      <c r="CN66" s="43" t="str">
        <f t="shared" si="95"/>
        <v>Nildo Pereira</v>
      </c>
      <c r="CO66" s="43"/>
    </row>
    <row r="67" spans="2:93">
      <c r="B67" s="73" t="s">
        <v>62</v>
      </c>
      <c r="C67" s="73"/>
      <c r="D67" s="73"/>
      <c r="E67" s="43">
        <f>E43</f>
        <v>7</v>
      </c>
      <c r="F67" s="43"/>
      <c r="M67" s="7" t="str">
        <f t="shared" si="27"/>
        <v/>
      </c>
      <c r="S67" s="8" t="str">
        <f t="shared" si="28"/>
        <v/>
      </c>
      <c r="T67" s="2">
        <f t="shared" si="29"/>
        <v>0</v>
      </c>
      <c r="U67" s="2">
        <f t="shared" si="30"/>
        <v>0</v>
      </c>
      <c r="V67" s="2">
        <f t="shared" si="31"/>
        <v>0</v>
      </c>
      <c r="W67" s="2">
        <f t="shared" si="32"/>
        <v>0</v>
      </c>
      <c r="X67" s="2">
        <f t="shared" si="33"/>
        <v>0</v>
      </c>
      <c r="Y67" s="2">
        <f t="shared" si="34"/>
        <v>0</v>
      </c>
      <c r="AW67" s="13">
        <v>6</v>
      </c>
      <c r="AX67" s="16" t="str">
        <f t="shared" si="70"/>
        <v>Vitória-PE</v>
      </c>
      <c r="AY67" s="18">
        <f>VLOOKUP(CJ69,BW$64:CG$69,3)</f>
        <v>4</v>
      </c>
      <c r="AZ67" s="18">
        <f t="shared" si="72"/>
        <v>10</v>
      </c>
      <c r="BA67" s="18">
        <f t="shared" si="73"/>
        <v>1</v>
      </c>
      <c r="BB67" s="18">
        <f t="shared" si="74"/>
        <v>1</v>
      </c>
      <c r="BC67" s="18">
        <f t="shared" si="75"/>
        <v>8</v>
      </c>
      <c r="BD67" s="18">
        <f t="shared" si="76"/>
        <v>9</v>
      </c>
      <c r="BE67" s="18">
        <f t="shared" si="77"/>
        <v>17</v>
      </c>
      <c r="BF67" s="18">
        <f t="shared" si="78"/>
        <v>-8</v>
      </c>
      <c r="BG67" s="19">
        <f t="shared" si="79"/>
        <v>0.13333333333333333</v>
      </c>
      <c r="BI67" s="7" t="str">
        <f t="shared" si="82"/>
        <v/>
      </c>
      <c r="BJ67" s="2"/>
      <c r="BK67" s="2"/>
      <c r="BL67" s="2"/>
      <c r="BM67" s="2"/>
      <c r="BN67" s="2"/>
      <c r="BO67" s="7" t="str">
        <f t="shared" si="96"/>
        <v/>
      </c>
      <c r="BP67" s="2">
        <f t="shared" si="83"/>
        <v>0</v>
      </c>
      <c r="BQ67" s="2">
        <f t="shared" si="84"/>
        <v>0</v>
      </c>
      <c r="BR67" s="2">
        <f t="shared" si="85"/>
        <v>0</v>
      </c>
      <c r="BS67" s="2">
        <f t="shared" si="86"/>
        <v>0</v>
      </c>
      <c r="BT67" s="2">
        <f t="shared" si="87"/>
        <v>0</v>
      </c>
      <c r="BU67" s="2">
        <f t="shared" si="88"/>
        <v>0</v>
      </c>
      <c r="BW67" s="13">
        <v>4</v>
      </c>
      <c r="BX67" s="13" t="str">
        <f>IF(SUM(D7:D15)=144,B13,"7º  Colocado do...")</f>
        <v>Pesqueira</v>
      </c>
      <c r="BY67" s="13">
        <f>SUM(BO66,BI71,BO75,BO79,BI86,BI90,BO96,BI101,BI106,BO109)</f>
        <v>20</v>
      </c>
      <c r="BZ67" s="13">
        <f t="shared" si="89"/>
        <v>10</v>
      </c>
      <c r="CA67" s="18">
        <f t="shared" si="90"/>
        <v>6</v>
      </c>
      <c r="CB67" s="18">
        <f t="shared" si="91"/>
        <v>2</v>
      </c>
      <c r="CC67" s="18">
        <f t="shared" si="92"/>
        <v>2</v>
      </c>
      <c r="CD67" s="13">
        <f>SUM(BM66,BK71,BM75,BM79,BK86,BK90,BM96,BK101,BK106,BM109)</f>
        <v>12</v>
      </c>
      <c r="CE67" s="13">
        <f>SUM(BK66,BM71,BK75,BK79,BM86,BM90,BK96,BM101,BM106,BK109)</f>
        <v>6</v>
      </c>
      <c r="CF67" s="13">
        <f t="shared" si="80"/>
        <v>6</v>
      </c>
      <c r="CG67" s="13">
        <f t="shared" si="81"/>
        <v>0.66666666666666663</v>
      </c>
      <c r="CH67" s="18">
        <f t="shared" si="97"/>
        <v>200056000124</v>
      </c>
      <c r="CI67" s="18">
        <f t="shared" si="93"/>
        <v>140048000076</v>
      </c>
      <c r="CJ67" s="18">
        <f t="shared" si="94"/>
        <v>6</v>
      </c>
    </row>
    <row r="68" spans="2:93">
      <c r="B68" s="73" t="s">
        <v>63</v>
      </c>
      <c r="C68" s="73"/>
      <c r="D68" s="73"/>
      <c r="E68" s="43">
        <f t="shared" ref="E68:E71" si="98">E44</f>
        <v>10</v>
      </c>
      <c r="F68" s="43"/>
      <c r="M68" s="7" t="str">
        <f t="shared" si="27"/>
        <v/>
      </c>
      <c r="N68" s="80" t="s">
        <v>33</v>
      </c>
      <c r="O68" s="57"/>
      <c r="P68" s="57"/>
      <c r="Q68" s="57"/>
      <c r="R68" s="58"/>
      <c r="S68" s="8" t="str">
        <f t="shared" si="28"/>
        <v/>
      </c>
      <c r="T68" s="2">
        <f t="shared" si="29"/>
        <v>0</v>
      </c>
      <c r="U68" s="2">
        <f t="shared" si="30"/>
        <v>0</v>
      </c>
      <c r="V68" s="2">
        <f t="shared" si="31"/>
        <v>0</v>
      </c>
      <c r="W68" s="2">
        <f t="shared" si="32"/>
        <v>0</v>
      </c>
      <c r="X68" s="2">
        <f t="shared" si="33"/>
        <v>0</v>
      </c>
      <c r="Y68" s="2">
        <f t="shared" si="34"/>
        <v>0</v>
      </c>
      <c r="BI68" s="7" t="str">
        <f t="shared" si="82"/>
        <v/>
      </c>
      <c r="BJ68" s="80" t="s">
        <v>23</v>
      </c>
      <c r="BK68" s="57"/>
      <c r="BL68" s="57"/>
      <c r="BM68" s="57"/>
      <c r="BN68" s="58"/>
      <c r="BO68" s="7" t="str">
        <f t="shared" si="96"/>
        <v/>
      </c>
      <c r="BP68" s="2">
        <f t="shared" si="83"/>
        <v>0</v>
      </c>
      <c r="BQ68" s="2">
        <f t="shared" si="84"/>
        <v>0</v>
      </c>
      <c r="BR68" s="2">
        <f>IF(BI68=1,1,0)</f>
        <v>0</v>
      </c>
      <c r="BS68" s="2">
        <f t="shared" si="86"/>
        <v>0</v>
      </c>
      <c r="BT68" s="2">
        <f t="shared" si="87"/>
        <v>0</v>
      </c>
      <c r="BU68" s="2">
        <f t="shared" si="88"/>
        <v>0</v>
      </c>
      <c r="BW68" s="13">
        <v>5</v>
      </c>
      <c r="BX68" s="13" t="str">
        <f>IF(SUM(D7:D15)=144,B14,"8º  Colocado do...")</f>
        <v>Ypiranga</v>
      </c>
      <c r="BY68" s="13">
        <f>SUM(BI65,BO71,BI76,BO81,BI84,BO91,BI96,BO99,BI105,BO110)</f>
        <v>14</v>
      </c>
      <c r="BZ68" s="13">
        <f t="shared" si="89"/>
        <v>10</v>
      </c>
      <c r="CA68" s="18">
        <f t="shared" si="90"/>
        <v>3</v>
      </c>
      <c r="CB68" s="18">
        <f t="shared" si="91"/>
        <v>5</v>
      </c>
      <c r="CC68" s="18">
        <f t="shared" si="92"/>
        <v>2</v>
      </c>
      <c r="CD68" s="13">
        <f>SUM(BK65,BM71,BK76,BM81,BK84,BM91,BK96,BM99,BK105,BM110)</f>
        <v>10</v>
      </c>
      <c r="CE68" s="13">
        <f>SUM(BM65,BK71,BM76,BK81,BM84,BK91,BM96,BK99,BM105,BK110)</f>
        <v>6</v>
      </c>
      <c r="CF68" s="13">
        <f t="shared" si="80"/>
        <v>4</v>
      </c>
      <c r="CG68" s="13">
        <f t="shared" si="81"/>
        <v>0.46666666666666667</v>
      </c>
      <c r="CH68" s="18">
        <f t="shared" si="97"/>
        <v>140054000105</v>
      </c>
      <c r="CI68" s="18">
        <f t="shared" si="93"/>
        <v>110049000103</v>
      </c>
      <c r="CJ68" s="18">
        <f t="shared" si="94"/>
        <v>3</v>
      </c>
    </row>
    <row r="69" spans="2:93">
      <c r="B69" s="73" t="s">
        <v>64</v>
      </c>
      <c r="C69" s="73"/>
      <c r="D69" s="73"/>
      <c r="E69" s="43">
        <f t="shared" si="98"/>
        <v>29</v>
      </c>
      <c r="F69" s="43"/>
      <c r="M69" s="7">
        <f t="shared" si="27"/>
        <v>3</v>
      </c>
      <c r="N69" s="3" t="s">
        <v>18</v>
      </c>
      <c r="O69" s="37">
        <v>3</v>
      </c>
      <c r="P69" s="3" t="s">
        <v>22</v>
      </c>
      <c r="Q69" s="37">
        <v>2</v>
      </c>
      <c r="R69" s="3" t="s">
        <v>14</v>
      </c>
      <c r="S69" s="8">
        <f t="shared" si="28"/>
        <v>0</v>
      </c>
      <c r="T69" s="2">
        <f t="shared" si="29"/>
        <v>1</v>
      </c>
      <c r="U69" s="2">
        <f t="shared" si="30"/>
        <v>0</v>
      </c>
      <c r="V69" s="2">
        <f t="shared" si="31"/>
        <v>0</v>
      </c>
      <c r="W69" s="2">
        <f t="shared" si="32"/>
        <v>0</v>
      </c>
      <c r="X69" s="2">
        <f t="shared" si="33"/>
        <v>0</v>
      </c>
      <c r="Y69" s="2">
        <f t="shared" si="34"/>
        <v>1</v>
      </c>
      <c r="AP69" s="62">
        <v>41651</v>
      </c>
      <c r="AQ69" s="43"/>
      <c r="AR69" s="43" t="s">
        <v>53</v>
      </c>
      <c r="AS69" s="43"/>
      <c r="AX69" s="76" t="s">
        <v>67</v>
      </c>
      <c r="AY69" s="77"/>
      <c r="AZ69" s="43" t="s">
        <v>68</v>
      </c>
      <c r="BA69" s="43"/>
      <c r="BB69" s="43"/>
      <c r="BC69" s="43" t="s">
        <v>69</v>
      </c>
      <c r="BD69" s="43"/>
      <c r="BE69" s="43"/>
      <c r="BF69" s="43"/>
      <c r="BI69" s="7">
        <f t="shared" si="82"/>
        <v>3</v>
      </c>
      <c r="BJ69" s="18" t="str">
        <f>BX66</f>
        <v>Chã Grande</v>
      </c>
      <c r="BK69" s="34">
        <v>4</v>
      </c>
      <c r="BL69" s="18" t="s">
        <v>22</v>
      </c>
      <c r="BM69" s="34">
        <v>0</v>
      </c>
      <c r="BN69" s="18" t="str">
        <f>BX65</f>
        <v>Serra Talhada</v>
      </c>
      <c r="BO69" s="7">
        <f t="shared" si="96"/>
        <v>0</v>
      </c>
      <c r="BP69" s="2">
        <f t="shared" si="83"/>
        <v>1</v>
      </c>
      <c r="BQ69" s="2">
        <f t="shared" si="84"/>
        <v>0</v>
      </c>
      <c r="BR69" s="2">
        <f t="shared" si="85"/>
        <v>0</v>
      </c>
      <c r="BS69" s="2">
        <f t="shared" si="86"/>
        <v>0</v>
      </c>
      <c r="BT69" s="2">
        <f t="shared" si="87"/>
        <v>0</v>
      </c>
      <c r="BU69" s="2">
        <f t="shared" si="88"/>
        <v>1</v>
      </c>
      <c r="BW69" s="13">
        <v>6</v>
      </c>
      <c r="BX69" s="13" t="str">
        <f>IF(SUM(D7:D15)=144,B15,"9º  Colocado do...")</f>
        <v>América-PE</v>
      </c>
      <c r="BY69" s="13">
        <f>SUM(BO65,BI70,BI75,BO80,BI85,BI91,BO95,BO101,BI104,BO111)</f>
        <v>14</v>
      </c>
      <c r="BZ69" s="13">
        <f t="shared" si="89"/>
        <v>10</v>
      </c>
      <c r="CA69" s="18">
        <f>SUMIF(BJ$64:BJ$111,BX69,BP$64:BP$111)+(SUMIF(BN$64:BN$111,BX69,BQ$64:BQ$111))</f>
        <v>4</v>
      </c>
      <c r="CB69" s="18">
        <f>SUMIF(BJ$64:BJ$111,BX69,BR$64:BR$111)+(SUMIF(BN$64:BN$111,BX69,BS$64:BS$111))</f>
        <v>2</v>
      </c>
      <c r="CC69" s="18">
        <f>SUMIF(BJ$64:BJ$111,BX69,BT$64:BT$111)+(SUMIF(BN$64:BN$111,BX69,BU$64:BU$111))</f>
        <v>4</v>
      </c>
      <c r="CD69" s="13">
        <f>SUM(BM65,BK70,BK75,BM80,BK85,BK91,BM95,BM101,BK104,BM111)</f>
        <v>7</v>
      </c>
      <c r="CE69" s="13">
        <f>SUM(BK65,BM70,BM75,BK80,BM85,BM91,BK95,BK101,BM104,BK111)</f>
        <v>9</v>
      </c>
      <c r="CF69" s="13">
        <f t="shared" si="80"/>
        <v>-2</v>
      </c>
      <c r="CG69" s="13">
        <f t="shared" si="81"/>
        <v>0.46666666666666667</v>
      </c>
      <c r="CH69" s="18">
        <f>(BY69*10^10)+(CF69+50)*(10^6)+(CD69*10)+BW69</f>
        <v>140048000076</v>
      </c>
      <c r="CI69" s="18">
        <f>LARGE(CH$64:CH$69,BW69)</f>
        <v>40042000091</v>
      </c>
      <c r="CJ69" s="18">
        <f>MATCH(CI69,CH$64:CH$69,0)</f>
        <v>1</v>
      </c>
      <c r="CL69" s="62">
        <v>41686</v>
      </c>
      <c r="CM69" s="43"/>
      <c r="CN69" s="43" t="str">
        <f t="shared" ref="CN69:CN71" si="99">IF(BJ69="Central","Lacerdão",IF(BJ69="Porto","Lacerdão",IF(BJ69="Salgueiro","Cornélio de Barros",IF(BJ69="Vitória-PE","Carneirão",IF(BJ69="Serra Talhada","Nildo Pereira",IF(BJ69="Ypiranga","Otávio Limeira",IF(BJ69="América-PE","Ademir Cunha",IF(BJ69="Chã Grande","Carneirão",IF(BJ69="Pesqueira","Otávio Limeira","Estadio Indefinido")))))))))</f>
        <v>Carneirão</v>
      </c>
      <c r="CO69" s="43"/>
    </row>
    <row r="70" spans="2:93">
      <c r="B70" s="73" t="s">
        <v>65</v>
      </c>
      <c r="C70" s="73"/>
      <c r="D70" s="73"/>
      <c r="E70" s="43">
        <f t="shared" si="98"/>
        <v>152</v>
      </c>
      <c r="F70" s="43"/>
      <c r="M70" s="7">
        <f t="shared" si="27"/>
        <v>3</v>
      </c>
      <c r="N70" s="3" t="s">
        <v>24</v>
      </c>
      <c r="O70" s="37">
        <v>3</v>
      </c>
      <c r="P70" s="3" t="s">
        <v>22</v>
      </c>
      <c r="Q70" s="37">
        <v>1</v>
      </c>
      <c r="R70" s="3" t="s">
        <v>21</v>
      </c>
      <c r="S70" s="8">
        <f t="shared" si="28"/>
        <v>0</v>
      </c>
      <c r="T70" s="2">
        <f t="shared" si="29"/>
        <v>1</v>
      </c>
      <c r="U70" s="2">
        <f t="shared" si="30"/>
        <v>0</v>
      </c>
      <c r="V70" s="2">
        <f t="shared" si="31"/>
        <v>0</v>
      </c>
      <c r="W70" s="2">
        <f t="shared" si="32"/>
        <v>0</v>
      </c>
      <c r="X70" s="2">
        <f t="shared" si="33"/>
        <v>0</v>
      </c>
      <c r="Y70" s="2">
        <f t="shared" si="34"/>
        <v>1</v>
      </c>
      <c r="AP70" s="62">
        <v>41651</v>
      </c>
      <c r="AQ70" s="43"/>
      <c r="AR70" s="43" t="s">
        <v>57</v>
      </c>
      <c r="AS70" s="43"/>
      <c r="BI70" s="7">
        <f t="shared" si="82"/>
        <v>3</v>
      </c>
      <c r="BJ70" s="18" t="str">
        <f>BN65</f>
        <v>América-PE</v>
      </c>
      <c r="BK70" s="34">
        <v>1</v>
      </c>
      <c r="BL70" s="18" t="s">
        <v>22</v>
      </c>
      <c r="BM70" s="34">
        <v>0</v>
      </c>
      <c r="BN70" s="18" t="str">
        <f>BX64</f>
        <v>Vitória-PE</v>
      </c>
      <c r="BO70" s="7">
        <f t="shared" si="96"/>
        <v>0</v>
      </c>
      <c r="BP70" s="2">
        <f t="shared" si="83"/>
        <v>1</v>
      </c>
      <c r="BQ70" s="2">
        <f t="shared" si="84"/>
        <v>0</v>
      </c>
      <c r="BR70" s="2">
        <f t="shared" si="85"/>
        <v>0</v>
      </c>
      <c r="BS70" s="2">
        <f t="shared" si="86"/>
        <v>0</v>
      </c>
      <c r="BT70" s="2">
        <f t="shared" si="87"/>
        <v>0</v>
      </c>
      <c r="BU70" s="2">
        <f t="shared" si="88"/>
        <v>1</v>
      </c>
      <c r="CL70" s="62">
        <v>41686</v>
      </c>
      <c r="CM70" s="43"/>
      <c r="CN70" s="43" t="str">
        <f t="shared" si="99"/>
        <v>Ademir Cunha</v>
      </c>
      <c r="CO70" s="43"/>
    </row>
    <row r="71" spans="2:93">
      <c r="B71" s="73" t="str">
        <f>B47</f>
        <v>total de jogos</v>
      </c>
      <c r="C71" s="73"/>
      <c r="D71" s="73"/>
      <c r="E71" s="56">
        <f t="shared" si="98"/>
        <v>144</v>
      </c>
      <c r="F71" s="56"/>
      <c r="M71" s="7">
        <f t="shared" si="27"/>
        <v>3</v>
      </c>
      <c r="N71" s="3" t="s">
        <v>48</v>
      </c>
      <c r="O71" s="37">
        <v>2</v>
      </c>
      <c r="P71" s="3" t="s">
        <v>22</v>
      </c>
      <c r="Q71" s="37">
        <v>1</v>
      </c>
      <c r="R71" s="3" t="s">
        <v>16</v>
      </c>
      <c r="S71" s="8">
        <f t="shared" si="28"/>
        <v>0</v>
      </c>
      <c r="T71" s="2">
        <f t="shared" si="29"/>
        <v>1</v>
      </c>
      <c r="U71" s="2">
        <f t="shared" si="30"/>
        <v>0</v>
      </c>
      <c r="V71" s="2">
        <f t="shared" si="31"/>
        <v>0</v>
      </c>
      <c r="W71" s="2">
        <f t="shared" si="32"/>
        <v>0</v>
      </c>
      <c r="X71" s="2">
        <f t="shared" si="33"/>
        <v>0</v>
      </c>
      <c r="Y71" s="2">
        <f t="shared" si="34"/>
        <v>1</v>
      </c>
      <c r="AP71" s="62">
        <v>41651</v>
      </c>
      <c r="AQ71" s="43"/>
      <c r="AR71" s="43" t="s">
        <v>51</v>
      </c>
      <c r="AS71" s="43"/>
      <c r="AV71" s="22"/>
      <c r="AW71" s="42" t="s">
        <v>60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I71" s="7">
        <f t="shared" si="82"/>
        <v>3</v>
      </c>
      <c r="BJ71" s="18" t="str">
        <f>BX67</f>
        <v>Pesqueira</v>
      </c>
      <c r="BK71" s="34">
        <v>2</v>
      </c>
      <c r="BL71" s="18" t="s">
        <v>22</v>
      </c>
      <c r="BM71" s="34">
        <v>1</v>
      </c>
      <c r="BN71" s="18" t="str">
        <f>BJ65</f>
        <v>Ypiranga</v>
      </c>
      <c r="BO71" s="7">
        <f t="shared" si="96"/>
        <v>0</v>
      </c>
      <c r="BP71" s="2">
        <f t="shared" si="83"/>
        <v>1</v>
      </c>
      <c r="BQ71" s="2">
        <f t="shared" si="84"/>
        <v>0</v>
      </c>
      <c r="BR71" s="2">
        <f>IF(BI71=1,1,0)</f>
        <v>0</v>
      </c>
      <c r="BS71" s="2">
        <f t="shared" si="86"/>
        <v>0</v>
      </c>
      <c r="BT71" s="2">
        <f t="shared" si="87"/>
        <v>0</v>
      </c>
      <c r="BU71" s="2">
        <f t="shared" si="88"/>
        <v>1</v>
      </c>
      <c r="CL71" s="62">
        <v>41686</v>
      </c>
      <c r="CM71" s="43"/>
      <c r="CN71" s="43" t="str">
        <f t="shared" si="99"/>
        <v>Otávio Limeira</v>
      </c>
      <c r="CO71" s="43"/>
    </row>
    <row r="72" spans="2:93">
      <c r="M72" s="7">
        <f t="shared" si="27"/>
        <v>3</v>
      </c>
      <c r="N72" s="3" t="s">
        <v>15</v>
      </c>
      <c r="O72" s="37">
        <v>2</v>
      </c>
      <c r="P72" s="3" t="s">
        <v>22</v>
      </c>
      <c r="Q72" s="37">
        <v>0</v>
      </c>
      <c r="R72" s="3" t="s">
        <v>19</v>
      </c>
      <c r="S72" s="8">
        <f t="shared" si="28"/>
        <v>0</v>
      </c>
      <c r="T72" s="2">
        <f t="shared" si="29"/>
        <v>1</v>
      </c>
      <c r="U72" s="2">
        <f t="shared" si="30"/>
        <v>0</v>
      </c>
      <c r="V72" s="2">
        <f t="shared" si="31"/>
        <v>0</v>
      </c>
      <c r="W72" s="2">
        <f t="shared" si="32"/>
        <v>0</v>
      </c>
      <c r="X72" s="2">
        <f t="shared" si="33"/>
        <v>0</v>
      </c>
      <c r="Y72" s="2">
        <f t="shared" si="34"/>
        <v>1</v>
      </c>
      <c r="AP72" s="62">
        <v>41651</v>
      </c>
      <c r="AQ72" s="43"/>
      <c r="AR72" s="43" t="s">
        <v>52</v>
      </c>
      <c r="AS72" s="43"/>
      <c r="BI72" s="7" t="str">
        <f t="shared" si="82"/>
        <v/>
      </c>
      <c r="BO72" s="7" t="str">
        <f t="shared" si="96"/>
        <v/>
      </c>
      <c r="BP72" s="2">
        <f t="shared" si="83"/>
        <v>0</v>
      </c>
      <c r="BQ72" s="2">
        <f t="shared" si="84"/>
        <v>0</v>
      </c>
      <c r="BR72" s="2">
        <f t="shared" si="85"/>
        <v>0</v>
      </c>
      <c r="BS72" s="2">
        <f t="shared" si="86"/>
        <v>0</v>
      </c>
      <c r="BT72" s="2">
        <f t="shared" si="87"/>
        <v>0</v>
      </c>
      <c r="BU72" s="2">
        <f t="shared" si="88"/>
        <v>0</v>
      </c>
    </row>
    <row r="73" spans="2:93">
      <c r="M73" s="7" t="str">
        <f t="shared" si="27"/>
        <v/>
      </c>
      <c r="S73" s="8" t="str">
        <f t="shared" si="28"/>
        <v/>
      </c>
      <c r="T73" s="2">
        <f t="shared" si="29"/>
        <v>0</v>
      </c>
      <c r="U73" s="2">
        <f t="shared" si="30"/>
        <v>0</v>
      </c>
      <c r="V73" s="2">
        <f t="shared" si="31"/>
        <v>0</v>
      </c>
      <c r="W73" s="2">
        <f t="shared" si="32"/>
        <v>0</v>
      </c>
      <c r="X73" s="2">
        <f t="shared" si="33"/>
        <v>0</v>
      </c>
      <c r="Y73" s="2">
        <f t="shared" si="34"/>
        <v>0</v>
      </c>
      <c r="AW73" s="73" t="str">
        <f>IF(SUM(AZ62:AZ67)=60,"Rebaixados","Zona De Rebaixamento Neste Momento")</f>
        <v>Rebaixados</v>
      </c>
      <c r="AX73" s="73"/>
      <c r="AY73" s="73"/>
      <c r="AZ73" s="73"/>
      <c r="BA73" s="73"/>
      <c r="BB73" s="73"/>
      <c r="BC73" s="44" t="str">
        <f>AX66</f>
        <v>Chã Grande</v>
      </c>
      <c r="BD73" s="41"/>
      <c r="BE73" s="43" t="str">
        <f>AX67</f>
        <v>Vitória-PE</v>
      </c>
      <c r="BF73" s="43"/>
      <c r="BI73" s="7" t="str">
        <f t="shared" si="82"/>
        <v/>
      </c>
      <c r="BJ73" s="80" t="s">
        <v>25</v>
      </c>
      <c r="BK73" s="57"/>
      <c r="BL73" s="57"/>
      <c r="BM73" s="57"/>
      <c r="BN73" s="58"/>
      <c r="BO73" s="7" t="str">
        <f t="shared" si="96"/>
        <v/>
      </c>
      <c r="BP73" s="2">
        <f t="shared" si="83"/>
        <v>0</v>
      </c>
      <c r="BQ73" s="2">
        <f t="shared" si="84"/>
        <v>0</v>
      </c>
      <c r="BR73" s="2">
        <f t="shared" si="85"/>
        <v>0</v>
      </c>
      <c r="BS73" s="2">
        <f t="shared" si="86"/>
        <v>0</v>
      </c>
      <c r="BT73" s="2">
        <f t="shared" si="87"/>
        <v>0</v>
      </c>
      <c r="BU73" s="2">
        <f t="shared" si="88"/>
        <v>0</v>
      </c>
    </row>
    <row r="74" spans="2:93">
      <c r="M74" s="7" t="str">
        <f t="shared" ref="M74:M114" si="100">IF(OR(O74="",Q74=""),"",IF(O74=Q74,1,IF(O74&gt;Q74,3,0)))</f>
        <v/>
      </c>
      <c r="N74" s="80" t="s">
        <v>34</v>
      </c>
      <c r="O74" s="57"/>
      <c r="P74" s="57"/>
      <c r="Q74" s="57"/>
      <c r="R74" s="58"/>
      <c r="S74" s="8" t="str">
        <f t="shared" ref="S74:S114" si="101">IF(OR(O74="",Q74=""),"",IF(O74=Q74,1,IF(Q74&gt;O74,3,0)))</f>
        <v/>
      </c>
      <c r="T74" s="2">
        <f t="shared" ref="T74:T113" si="102">IF(M74=3,1,0)</f>
        <v>0</v>
      </c>
      <c r="U74" s="2">
        <f t="shared" ref="U74:U114" si="103">IF(S74=3,1,0)</f>
        <v>0</v>
      </c>
      <c r="V74" s="2">
        <f t="shared" ref="V74:V114" si="104">IF(M74=1,1,0)</f>
        <v>0</v>
      </c>
      <c r="W74" s="2">
        <f t="shared" ref="W74:W114" si="105">IF(S74=1,1,0)</f>
        <v>0</v>
      </c>
      <c r="X74" s="2">
        <f t="shared" ref="X74:X114" si="106">IF(M74=0,1,0)</f>
        <v>0</v>
      </c>
      <c r="Y74" s="2">
        <f t="shared" ref="Y74:Y114" si="107">IF(S74=0,1,0)</f>
        <v>0</v>
      </c>
      <c r="BA74" s="75"/>
      <c r="BB74" s="75"/>
      <c r="BC74" s="75"/>
      <c r="BD74" s="75"/>
      <c r="BE74" s="79"/>
      <c r="BI74" s="7">
        <f t="shared" si="82"/>
        <v>3</v>
      </c>
      <c r="BJ74" s="18" t="str">
        <f>BX65</f>
        <v>Serra Talhada</v>
      </c>
      <c r="BK74" s="34">
        <v>2</v>
      </c>
      <c r="BL74" s="18" t="s">
        <v>22</v>
      </c>
      <c r="BM74" s="34">
        <v>1</v>
      </c>
      <c r="BN74" s="18" t="str">
        <f>BX64</f>
        <v>Vitória-PE</v>
      </c>
      <c r="BO74" s="7">
        <f t="shared" si="96"/>
        <v>0</v>
      </c>
      <c r="BP74" s="2">
        <f t="shared" si="83"/>
        <v>1</v>
      </c>
      <c r="BQ74" s="2">
        <f t="shared" si="84"/>
        <v>0</v>
      </c>
      <c r="BR74" s="2">
        <f t="shared" si="85"/>
        <v>0</v>
      </c>
      <c r="BS74" s="2">
        <f t="shared" si="86"/>
        <v>0</v>
      </c>
      <c r="BT74" s="2">
        <f t="shared" si="87"/>
        <v>0</v>
      </c>
      <c r="BU74" s="2">
        <f t="shared" si="88"/>
        <v>1</v>
      </c>
      <c r="CL74" s="62">
        <v>41689</v>
      </c>
      <c r="CM74" s="43"/>
      <c r="CN74" s="43" t="str">
        <f t="shared" ref="CN74:CN76" si="108">IF(BJ74="Central","Lacerdão",IF(BJ74="Porto","Lacerdão",IF(BJ74="Salgueiro","Cornélio de Barros",IF(BJ74="Vitória-PE","Carneirão",IF(BJ74="Serra Talhada","Nildo Pereira",IF(BJ74="Ypiranga","Otávio Limeira",IF(BJ74="América-PE","Ademir Cunha",IF(BJ74="Chã Grande","Carneirão",IF(BJ74="Pesqueira","Otávio Limeira","Estadio Indefinido")))))))))</f>
        <v>Nildo Pereira</v>
      </c>
      <c r="CO74" s="43"/>
    </row>
    <row r="75" spans="2:93">
      <c r="M75" s="7">
        <f t="shared" si="100"/>
        <v>0</v>
      </c>
      <c r="N75" s="3" t="s">
        <v>16</v>
      </c>
      <c r="O75" s="37">
        <v>0</v>
      </c>
      <c r="P75" s="3" t="s">
        <v>22</v>
      </c>
      <c r="Q75" s="37">
        <v>1</v>
      </c>
      <c r="R75" s="3" t="s">
        <v>18</v>
      </c>
      <c r="S75" s="8">
        <f t="shared" si="101"/>
        <v>3</v>
      </c>
      <c r="T75" s="2">
        <f t="shared" si="102"/>
        <v>0</v>
      </c>
      <c r="U75" s="2">
        <f t="shared" si="103"/>
        <v>1</v>
      </c>
      <c r="V75" s="2">
        <f t="shared" si="104"/>
        <v>0</v>
      </c>
      <c r="W75" s="2">
        <f t="shared" si="105"/>
        <v>0</v>
      </c>
      <c r="X75" s="2">
        <f t="shared" si="106"/>
        <v>1</v>
      </c>
      <c r="Y75" s="2">
        <f t="shared" si="107"/>
        <v>0</v>
      </c>
      <c r="AP75" s="62">
        <v>41654</v>
      </c>
      <c r="AQ75" s="43"/>
      <c r="AR75" s="43" t="s">
        <v>55</v>
      </c>
      <c r="AS75" s="43"/>
      <c r="AW75" s="59" t="s">
        <v>61</v>
      </c>
      <c r="AX75" s="60"/>
      <c r="AY75" s="60"/>
      <c r="AZ75" s="43">
        <f>MAX(BA62:BA67)</f>
        <v>6</v>
      </c>
      <c r="BA75" s="43"/>
      <c r="BI75" s="7">
        <f t="shared" si="82"/>
        <v>0</v>
      </c>
      <c r="BJ75" s="18" t="str">
        <f>BJ70</f>
        <v>América-PE</v>
      </c>
      <c r="BK75" s="34">
        <v>1</v>
      </c>
      <c r="BL75" s="18" t="s">
        <v>22</v>
      </c>
      <c r="BM75" s="34">
        <v>2</v>
      </c>
      <c r="BN75" s="18" t="str">
        <f>BX67</f>
        <v>Pesqueira</v>
      </c>
      <c r="BO75" s="7">
        <f t="shared" si="96"/>
        <v>3</v>
      </c>
      <c r="BP75" s="2">
        <f t="shared" si="83"/>
        <v>0</v>
      </c>
      <c r="BQ75" s="2">
        <f t="shared" si="84"/>
        <v>1</v>
      </c>
      <c r="BR75" s="2">
        <f t="shared" si="85"/>
        <v>0</v>
      </c>
      <c r="BS75" s="2">
        <f t="shared" si="86"/>
        <v>0</v>
      </c>
      <c r="BT75" s="2">
        <f t="shared" si="87"/>
        <v>1</v>
      </c>
      <c r="BU75" s="2">
        <f t="shared" si="88"/>
        <v>0</v>
      </c>
      <c r="CL75" s="62">
        <v>41689</v>
      </c>
      <c r="CM75" s="43"/>
      <c r="CN75" s="43" t="str">
        <f t="shared" si="108"/>
        <v>Ademir Cunha</v>
      </c>
      <c r="CO75" s="43"/>
    </row>
    <row r="76" spans="2:93">
      <c r="M76" s="7">
        <f t="shared" si="100"/>
        <v>3</v>
      </c>
      <c r="N76" s="3" t="s">
        <v>14</v>
      </c>
      <c r="O76" s="37">
        <v>1</v>
      </c>
      <c r="P76" s="3" t="s">
        <v>22</v>
      </c>
      <c r="Q76" s="37">
        <v>0</v>
      </c>
      <c r="R76" s="3" t="s">
        <v>15</v>
      </c>
      <c r="S76" s="8">
        <f t="shared" si="101"/>
        <v>0</v>
      </c>
      <c r="T76" s="2">
        <f t="shared" si="102"/>
        <v>1</v>
      </c>
      <c r="U76" s="2">
        <f t="shared" si="103"/>
        <v>0</v>
      </c>
      <c r="V76" s="2">
        <f t="shared" si="104"/>
        <v>0</v>
      </c>
      <c r="W76" s="2">
        <f t="shared" si="105"/>
        <v>0</v>
      </c>
      <c r="X76" s="2">
        <f t="shared" si="106"/>
        <v>0</v>
      </c>
      <c r="Y76" s="2">
        <f t="shared" si="107"/>
        <v>1</v>
      </c>
      <c r="AP76" s="62">
        <v>41654</v>
      </c>
      <c r="AQ76" s="43"/>
      <c r="AR76" s="43" t="s">
        <v>53</v>
      </c>
      <c r="AS76" s="43"/>
      <c r="AW76" s="59" t="s">
        <v>62</v>
      </c>
      <c r="AX76" s="60"/>
      <c r="AY76" s="60"/>
      <c r="AZ76" s="43">
        <f>MAX(BB62:BB67)</f>
        <v>5</v>
      </c>
      <c r="BA76" s="43"/>
      <c r="BI76" s="7">
        <f t="shared" si="82"/>
        <v>1</v>
      </c>
      <c r="BJ76" s="18" t="str">
        <f>BN71</f>
        <v>Ypiranga</v>
      </c>
      <c r="BK76" s="34">
        <v>0</v>
      </c>
      <c r="BL76" s="18" t="s">
        <v>22</v>
      </c>
      <c r="BM76" s="34">
        <v>0</v>
      </c>
      <c r="BN76" s="18" t="str">
        <f>BX66</f>
        <v>Chã Grande</v>
      </c>
      <c r="BO76" s="7">
        <f t="shared" si="96"/>
        <v>1</v>
      </c>
      <c r="BP76" s="2">
        <f>IF(BI76=3,1,0)</f>
        <v>0</v>
      </c>
      <c r="BQ76" s="2">
        <f t="shared" si="84"/>
        <v>0</v>
      </c>
      <c r="BR76" s="2">
        <f t="shared" si="85"/>
        <v>1</v>
      </c>
      <c r="BS76" s="2">
        <f t="shared" si="86"/>
        <v>1</v>
      </c>
      <c r="BT76" s="2">
        <f t="shared" si="87"/>
        <v>0</v>
      </c>
      <c r="BU76" s="2">
        <f t="shared" si="88"/>
        <v>0</v>
      </c>
      <c r="CL76" s="62">
        <v>41689</v>
      </c>
      <c r="CM76" s="43"/>
      <c r="CN76" s="43" t="str">
        <f t="shared" si="108"/>
        <v>Otávio Limeira</v>
      </c>
      <c r="CO76" s="43"/>
    </row>
    <row r="77" spans="2:93">
      <c r="M77" s="7">
        <f t="shared" si="100"/>
        <v>3</v>
      </c>
      <c r="N77" s="3" t="s">
        <v>19</v>
      </c>
      <c r="O77" s="37">
        <v>1</v>
      </c>
      <c r="P77" s="3" t="s">
        <v>22</v>
      </c>
      <c r="Q77" s="37">
        <v>0</v>
      </c>
      <c r="R77" s="3" t="s">
        <v>48</v>
      </c>
      <c r="S77" s="8">
        <f t="shared" si="101"/>
        <v>0</v>
      </c>
      <c r="T77" s="2">
        <f t="shared" si="102"/>
        <v>1</v>
      </c>
      <c r="U77" s="2">
        <f t="shared" si="103"/>
        <v>0</v>
      </c>
      <c r="V77" s="2">
        <f t="shared" si="104"/>
        <v>0</v>
      </c>
      <c r="W77" s="2">
        <f t="shared" si="105"/>
        <v>0</v>
      </c>
      <c r="X77" s="2">
        <f t="shared" si="106"/>
        <v>0</v>
      </c>
      <c r="Y77" s="2">
        <f t="shared" si="107"/>
        <v>1</v>
      </c>
      <c r="AP77" s="62">
        <v>41654</v>
      </c>
      <c r="AQ77" s="43"/>
      <c r="AR77" s="43" t="s">
        <v>53</v>
      </c>
      <c r="AS77" s="43"/>
      <c r="AW77" s="59" t="s">
        <v>63</v>
      </c>
      <c r="AX77" s="60"/>
      <c r="AY77" s="60"/>
      <c r="AZ77" s="43">
        <f>MAX(BC62:BC67)</f>
        <v>8</v>
      </c>
      <c r="BA77" s="43"/>
      <c r="BI77" s="7" t="str">
        <f t="shared" si="82"/>
        <v/>
      </c>
      <c r="BO77" s="7" t="str">
        <f t="shared" si="96"/>
        <v/>
      </c>
      <c r="BP77" s="2">
        <f t="shared" ref="BP77:BP111" si="109">IF(BI77=3,1,0)</f>
        <v>0</v>
      </c>
      <c r="BQ77" s="2">
        <f t="shared" si="84"/>
        <v>0</v>
      </c>
      <c r="BR77" s="2">
        <f t="shared" si="85"/>
        <v>0</v>
      </c>
      <c r="BS77" s="2">
        <f t="shared" si="86"/>
        <v>0</v>
      </c>
      <c r="BT77" s="2">
        <f t="shared" si="87"/>
        <v>0</v>
      </c>
      <c r="BU77" s="2">
        <f t="shared" si="88"/>
        <v>0</v>
      </c>
    </row>
    <row r="78" spans="2:93">
      <c r="M78" s="7">
        <f t="shared" si="100"/>
        <v>1</v>
      </c>
      <c r="N78" s="3" t="s">
        <v>20</v>
      </c>
      <c r="O78" s="37">
        <v>3</v>
      </c>
      <c r="P78" s="3" t="s">
        <v>22</v>
      </c>
      <c r="Q78" s="37">
        <v>3</v>
      </c>
      <c r="R78" s="3" t="s">
        <v>24</v>
      </c>
      <c r="S78" s="8">
        <f t="shared" si="101"/>
        <v>1</v>
      </c>
      <c r="T78" s="2">
        <f t="shared" si="102"/>
        <v>0</v>
      </c>
      <c r="U78" s="2">
        <f t="shared" si="103"/>
        <v>0</v>
      </c>
      <c r="V78" s="2">
        <f t="shared" si="104"/>
        <v>1</v>
      </c>
      <c r="W78" s="2">
        <f t="shared" si="105"/>
        <v>1</v>
      </c>
      <c r="X78" s="2">
        <f t="shared" si="106"/>
        <v>0</v>
      </c>
      <c r="Y78" s="2">
        <f t="shared" si="107"/>
        <v>0</v>
      </c>
      <c r="AP78" s="62">
        <v>41654</v>
      </c>
      <c r="AQ78" s="43"/>
      <c r="AR78" s="43" t="s">
        <v>54</v>
      </c>
      <c r="AS78" s="43"/>
      <c r="AW78" s="59" t="s">
        <v>64</v>
      </c>
      <c r="AX78" s="60"/>
      <c r="AY78" s="60"/>
      <c r="AZ78" s="43">
        <f>MAX(BD62:BD67)</f>
        <v>12</v>
      </c>
      <c r="BA78" s="43"/>
      <c r="BI78" s="7" t="str">
        <f t="shared" si="82"/>
        <v/>
      </c>
      <c r="BJ78" s="80" t="s">
        <v>26</v>
      </c>
      <c r="BK78" s="57"/>
      <c r="BL78" s="57"/>
      <c r="BM78" s="57"/>
      <c r="BN78" s="58"/>
      <c r="BO78" s="7" t="str">
        <f t="shared" si="96"/>
        <v/>
      </c>
      <c r="BP78" s="2">
        <f t="shared" si="109"/>
        <v>0</v>
      </c>
      <c r="BQ78" s="2">
        <f t="shared" si="84"/>
        <v>0</v>
      </c>
      <c r="BR78" s="2">
        <f t="shared" si="85"/>
        <v>0</v>
      </c>
      <c r="BS78" s="2">
        <f t="shared" si="86"/>
        <v>0</v>
      </c>
      <c r="BT78" s="2">
        <f t="shared" si="87"/>
        <v>0</v>
      </c>
      <c r="BU78" s="2">
        <f t="shared" si="88"/>
        <v>0</v>
      </c>
    </row>
    <row r="79" spans="2:93">
      <c r="M79" s="7" t="str">
        <f t="shared" si="100"/>
        <v/>
      </c>
      <c r="S79" s="8" t="str">
        <f t="shared" si="101"/>
        <v/>
      </c>
      <c r="T79" s="2">
        <f t="shared" si="102"/>
        <v>0</v>
      </c>
      <c r="U79" s="2">
        <f t="shared" si="103"/>
        <v>0</v>
      </c>
      <c r="V79" s="2">
        <f t="shared" si="104"/>
        <v>0</v>
      </c>
      <c r="W79" s="2">
        <f t="shared" si="105"/>
        <v>0</v>
      </c>
      <c r="X79" s="2">
        <f t="shared" si="106"/>
        <v>0</v>
      </c>
      <c r="Y79" s="2">
        <f t="shared" si="107"/>
        <v>0</v>
      </c>
      <c r="AW79" s="59" t="s">
        <v>65</v>
      </c>
      <c r="AX79" s="60"/>
      <c r="AY79" s="60"/>
      <c r="AZ79" s="43">
        <f>SUM(BD62:BD67)</f>
        <v>59</v>
      </c>
      <c r="BA79" s="43"/>
      <c r="BI79" s="7">
        <f t="shared" si="82"/>
        <v>1</v>
      </c>
      <c r="BJ79" s="18" t="str">
        <f>BX66</f>
        <v>Chã Grande</v>
      </c>
      <c r="BK79" s="34">
        <v>1</v>
      </c>
      <c r="BL79" s="18" t="s">
        <v>22</v>
      </c>
      <c r="BM79" s="34">
        <v>1</v>
      </c>
      <c r="BN79" s="18" t="str">
        <f>BX67</f>
        <v>Pesqueira</v>
      </c>
      <c r="BO79" s="7">
        <f t="shared" si="96"/>
        <v>1</v>
      </c>
      <c r="BP79" s="2">
        <f t="shared" si="109"/>
        <v>0</v>
      </c>
      <c r="BQ79" s="2">
        <f t="shared" si="84"/>
        <v>0</v>
      </c>
      <c r="BR79" s="2">
        <f t="shared" si="85"/>
        <v>1</v>
      </c>
      <c r="BS79" s="2">
        <f t="shared" si="86"/>
        <v>1</v>
      </c>
      <c r="BT79" s="2">
        <f t="shared" si="87"/>
        <v>0</v>
      </c>
      <c r="BU79" s="2">
        <f t="shared" si="88"/>
        <v>0</v>
      </c>
      <c r="CL79" s="62">
        <v>41692</v>
      </c>
      <c r="CM79" s="43"/>
      <c r="CN79" s="43" t="str">
        <f t="shared" ref="CN79:CN81" si="110">IF(BJ79="Central","Lacerdão",IF(BJ79="Porto","Lacerdão",IF(BJ79="Salgueiro","Cornélio de Barros",IF(BJ79="Vitória-PE","Carneirão",IF(BJ79="Serra Talhada","Nildo Pereira",IF(BJ79="Ypiranga","Otávio Limeira",IF(BJ79="América-PE","Ademir Cunha",IF(BJ79="Chã Grande","Carneirão",IF(BJ79="Pesqueira","Otávio Limeira","Estadio Indefinido")))))))))</f>
        <v>Carneirão</v>
      </c>
      <c r="CO79" s="43"/>
    </row>
    <row r="80" spans="2:93">
      <c r="M80" s="7" t="str">
        <f t="shared" si="100"/>
        <v/>
      </c>
      <c r="N80" s="80" t="s">
        <v>35</v>
      </c>
      <c r="O80" s="57"/>
      <c r="P80" s="57"/>
      <c r="Q80" s="57"/>
      <c r="R80" s="58"/>
      <c r="S80" s="8" t="str">
        <f t="shared" si="101"/>
        <v/>
      </c>
      <c r="T80" s="2">
        <f t="shared" si="102"/>
        <v>0</v>
      </c>
      <c r="U80" s="2">
        <f t="shared" si="103"/>
        <v>0</v>
      </c>
      <c r="V80" s="2">
        <f t="shared" si="104"/>
        <v>0</v>
      </c>
      <c r="W80" s="2">
        <f t="shared" si="105"/>
        <v>0</v>
      </c>
      <c r="X80" s="2">
        <f t="shared" si="106"/>
        <v>0</v>
      </c>
      <c r="Y80" s="2">
        <f t="shared" si="107"/>
        <v>0</v>
      </c>
      <c r="AW80" s="73" t="s">
        <v>66</v>
      </c>
      <c r="AX80" s="73"/>
      <c r="AY80" s="73"/>
      <c r="AZ80" s="56">
        <f>SUM(AZ62:AZ67)</f>
        <v>60</v>
      </c>
      <c r="BA80" s="56"/>
      <c r="BI80" s="7">
        <f t="shared" si="82"/>
        <v>1</v>
      </c>
      <c r="BJ80" s="18" t="str">
        <f>BX65</f>
        <v>Serra Talhada</v>
      </c>
      <c r="BK80" s="34">
        <v>0</v>
      </c>
      <c r="BL80" s="18" t="s">
        <v>22</v>
      </c>
      <c r="BM80" s="34">
        <v>0</v>
      </c>
      <c r="BN80" s="18" t="str">
        <f>BJ75</f>
        <v>América-PE</v>
      </c>
      <c r="BO80" s="7">
        <f t="shared" si="96"/>
        <v>1</v>
      </c>
      <c r="BP80" s="2">
        <f t="shared" si="109"/>
        <v>0</v>
      </c>
      <c r="BQ80" s="2">
        <f t="shared" si="84"/>
        <v>0</v>
      </c>
      <c r="BR80" s="2">
        <f t="shared" si="85"/>
        <v>1</v>
      </c>
      <c r="BS80" s="2">
        <f t="shared" si="86"/>
        <v>1</v>
      </c>
      <c r="BT80" s="2">
        <f t="shared" si="87"/>
        <v>0</v>
      </c>
      <c r="BU80" s="2">
        <f t="shared" si="88"/>
        <v>0</v>
      </c>
      <c r="CL80" s="62">
        <v>41693</v>
      </c>
      <c r="CM80" s="43"/>
      <c r="CN80" s="43" t="str">
        <f t="shared" si="110"/>
        <v>Nildo Pereira</v>
      </c>
      <c r="CO80" s="43"/>
    </row>
    <row r="81" spans="2:93">
      <c r="M81" s="7">
        <f t="shared" si="100"/>
        <v>1</v>
      </c>
      <c r="N81" s="3" t="s">
        <v>21</v>
      </c>
      <c r="O81" s="37">
        <v>1</v>
      </c>
      <c r="P81" s="3" t="s">
        <v>22</v>
      </c>
      <c r="Q81" s="37">
        <v>1</v>
      </c>
      <c r="R81" s="3" t="s">
        <v>14</v>
      </c>
      <c r="S81" s="8">
        <f t="shared" si="101"/>
        <v>1</v>
      </c>
      <c r="T81" s="2">
        <f t="shared" si="102"/>
        <v>0</v>
      </c>
      <c r="U81" s="2">
        <f t="shared" si="103"/>
        <v>0</v>
      </c>
      <c r="V81" s="2">
        <f t="shared" si="104"/>
        <v>1</v>
      </c>
      <c r="W81" s="2">
        <f t="shared" si="105"/>
        <v>1</v>
      </c>
      <c r="X81" s="2">
        <f t="shared" si="106"/>
        <v>0</v>
      </c>
      <c r="Y81" s="2">
        <f t="shared" si="107"/>
        <v>0</v>
      </c>
      <c r="AP81" s="62">
        <v>41658</v>
      </c>
      <c r="AQ81" s="43"/>
      <c r="AR81" s="43" t="s">
        <v>56</v>
      </c>
      <c r="AS81" s="43"/>
      <c r="BI81" s="7">
        <f t="shared" si="82"/>
        <v>0</v>
      </c>
      <c r="BJ81" s="18" t="str">
        <f>BN74</f>
        <v>Vitória-PE</v>
      </c>
      <c r="BK81" s="34">
        <v>0</v>
      </c>
      <c r="BL81" s="18" t="s">
        <v>22</v>
      </c>
      <c r="BM81" s="34">
        <v>2</v>
      </c>
      <c r="BN81" s="18" t="str">
        <f>BJ76</f>
        <v>Ypiranga</v>
      </c>
      <c r="BO81" s="7">
        <f t="shared" si="96"/>
        <v>3</v>
      </c>
      <c r="BP81" s="2">
        <f t="shared" si="109"/>
        <v>0</v>
      </c>
      <c r="BQ81" s="2">
        <f t="shared" si="84"/>
        <v>1</v>
      </c>
      <c r="BR81" s="2">
        <f t="shared" si="85"/>
        <v>0</v>
      </c>
      <c r="BS81" s="2">
        <f t="shared" si="86"/>
        <v>0</v>
      </c>
      <c r="BT81" s="2">
        <f t="shared" si="87"/>
        <v>1</v>
      </c>
      <c r="BU81" s="2">
        <f t="shared" si="88"/>
        <v>0</v>
      </c>
      <c r="CL81" s="62">
        <v>41693</v>
      </c>
      <c r="CM81" s="43"/>
      <c r="CN81" s="43" t="str">
        <f t="shared" si="110"/>
        <v>Carneirão</v>
      </c>
      <c r="CO81" s="43"/>
    </row>
    <row r="82" spans="2:93">
      <c r="M82" s="7">
        <f t="shared" si="100"/>
        <v>3</v>
      </c>
      <c r="N82" s="3" t="s">
        <v>48</v>
      </c>
      <c r="O82" s="37">
        <v>1</v>
      </c>
      <c r="P82" s="3" t="s">
        <v>22</v>
      </c>
      <c r="Q82" s="37">
        <v>0</v>
      </c>
      <c r="R82" s="3" t="s">
        <v>18</v>
      </c>
      <c r="S82" s="8">
        <f t="shared" si="101"/>
        <v>0</v>
      </c>
      <c r="T82" s="2">
        <f t="shared" si="102"/>
        <v>1</v>
      </c>
      <c r="U82" s="2">
        <f t="shared" si="103"/>
        <v>0</v>
      </c>
      <c r="V82" s="2">
        <f t="shared" si="104"/>
        <v>0</v>
      </c>
      <c r="W82" s="2">
        <f t="shared" si="105"/>
        <v>0</v>
      </c>
      <c r="X82" s="2">
        <f t="shared" si="106"/>
        <v>0</v>
      </c>
      <c r="Y82" s="2">
        <f t="shared" si="107"/>
        <v>1</v>
      </c>
      <c r="AP82" s="62">
        <v>41658</v>
      </c>
      <c r="AQ82" s="43"/>
      <c r="AR82" s="43" t="s">
        <v>51</v>
      </c>
      <c r="AS82" s="43"/>
      <c r="BI82" s="7" t="str">
        <f t="shared" si="82"/>
        <v/>
      </c>
      <c r="BO82" s="7" t="str">
        <f t="shared" si="96"/>
        <v/>
      </c>
      <c r="BP82" s="2">
        <f t="shared" si="109"/>
        <v>0</v>
      </c>
      <c r="BQ82" s="2">
        <f t="shared" si="84"/>
        <v>0</v>
      </c>
      <c r="BR82" s="2">
        <f t="shared" si="85"/>
        <v>0</v>
      </c>
      <c r="BS82" s="2">
        <f t="shared" si="86"/>
        <v>0</v>
      </c>
      <c r="BT82" s="2">
        <f t="shared" si="87"/>
        <v>0</v>
      </c>
      <c r="BU82" s="2">
        <f t="shared" si="88"/>
        <v>0</v>
      </c>
    </row>
    <row r="83" spans="2:93">
      <c r="M83" s="7">
        <f t="shared" si="100"/>
        <v>0</v>
      </c>
      <c r="N83" s="3" t="s">
        <v>20</v>
      </c>
      <c r="O83" s="37">
        <v>0</v>
      </c>
      <c r="P83" s="3" t="s">
        <v>22</v>
      </c>
      <c r="Q83" s="37">
        <v>1</v>
      </c>
      <c r="R83" s="3" t="s">
        <v>16</v>
      </c>
      <c r="S83" s="8">
        <f t="shared" si="101"/>
        <v>3</v>
      </c>
      <c r="T83" s="2">
        <f t="shared" si="102"/>
        <v>0</v>
      </c>
      <c r="U83" s="2">
        <f t="shared" si="103"/>
        <v>1</v>
      </c>
      <c r="V83" s="2">
        <f t="shared" si="104"/>
        <v>0</v>
      </c>
      <c r="W83" s="2">
        <f t="shared" si="105"/>
        <v>0</v>
      </c>
      <c r="X83" s="2">
        <f t="shared" si="106"/>
        <v>1</v>
      </c>
      <c r="Y83" s="2">
        <f t="shared" si="107"/>
        <v>0</v>
      </c>
      <c r="AP83" s="62">
        <v>41658</v>
      </c>
      <c r="AQ83" s="43"/>
      <c r="AR83" s="43" t="s">
        <v>54</v>
      </c>
      <c r="AS83" s="43"/>
      <c r="BI83" s="7" t="str">
        <f t="shared" si="82"/>
        <v/>
      </c>
      <c r="BJ83" s="80" t="s">
        <v>27</v>
      </c>
      <c r="BK83" s="57"/>
      <c r="BL83" s="57"/>
      <c r="BM83" s="57"/>
      <c r="BN83" s="58"/>
      <c r="BO83" s="7" t="str">
        <f t="shared" si="96"/>
        <v/>
      </c>
      <c r="BP83" s="2">
        <f t="shared" si="109"/>
        <v>0</v>
      </c>
      <c r="BQ83" s="2">
        <f t="shared" si="84"/>
        <v>0</v>
      </c>
      <c r="BR83" s="2">
        <f t="shared" si="85"/>
        <v>0</v>
      </c>
      <c r="BS83" s="2">
        <f t="shared" si="86"/>
        <v>0</v>
      </c>
      <c r="BT83" s="2">
        <f t="shared" si="87"/>
        <v>0</v>
      </c>
      <c r="BU83" s="2">
        <f t="shared" si="88"/>
        <v>0</v>
      </c>
    </row>
    <row r="84" spans="2:93">
      <c r="M84" s="7">
        <f t="shared" si="100"/>
        <v>3</v>
      </c>
      <c r="N84" s="3" t="s">
        <v>24</v>
      </c>
      <c r="O84" s="37">
        <v>2</v>
      </c>
      <c r="P84" s="3" t="s">
        <v>22</v>
      </c>
      <c r="Q84" s="37">
        <v>1</v>
      </c>
      <c r="R84" s="3" t="s">
        <v>19</v>
      </c>
      <c r="S84" s="8">
        <f t="shared" si="101"/>
        <v>0</v>
      </c>
      <c r="T84" s="2">
        <f t="shared" si="102"/>
        <v>1</v>
      </c>
      <c r="U84" s="2">
        <f t="shared" si="103"/>
        <v>0</v>
      </c>
      <c r="V84" s="2">
        <f t="shared" si="104"/>
        <v>0</v>
      </c>
      <c r="W84" s="2">
        <f t="shared" si="105"/>
        <v>0</v>
      </c>
      <c r="X84" s="2">
        <f t="shared" si="106"/>
        <v>0</v>
      </c>
      <c r="Y84" s="2">
        <f t="shared" si="107"/>
        <v>1</v>
      </c>
      <c r="AP84" s="62">
        <v>41658</v>
      </c>
      <c r="AQ84" s="43"/>
      <c r="AR84" s="43" t="s">
        <v>57</v>
      </c>
      <c r="AS84" s="43"/>
      <c r="BI84" s="7">
        <f t="shared" si="82"/>
        <v>1</v>
      </c>
      <c r="BJ84" s="18" t="str">
        <f>BN81</f>
        <v>Ypiranga</v>
      </c>
      <c r="BK84" s="34">
        <v>1</v>
      </c>
      <c r="BL84" s="18" t="s">
        <v>22</v>
      </c>
      <c r="BM84" s="34">
        <v>1</v>
      </c>
      <c r="BN84" s="18" t="str">
        <f>BX65</f>
        <v>Serra Talhada</v>
      </c>
      <c r="BO84" s="7">
        <f t="shared" si="96"/>
        <v>1</v>
      </c>
      <c r="BP84" s="2">
        <f t="shared" si="109"/>
        <v>0</v>
      </c>
      <c r="BQ84" s="2">
        <f t="shared" si="84"/>
        <v>0</v>
      </c>
      <c r="BR84" s="2">
        <f t="shared" si="85"/>
        <v>1</v>
      </c>
      <c r="BS84" s="2">
        <f t="shared" si="86"/>
        <v>1</v>
      </c>
      <c r="BT84" s="2">
        <f t="shared" si="87"/>
        <v>0</v>
      </c>
      <c r="BU84" s="2">
        <f t="shared" si="88"/>
        <v>0</v>
      </c>
      <c r="CL84" s="62">
        <v>41696</v>
      </c>
      <c r="CM84" s="43"/>
      <c r="CN84" s="43" t="str">
        <f t="shared" ref="CN84:CN86" si="111">IF(BJ84="Central","Lacerdão",IF(BJ84="Porto","Lacerdão",IF(BJ84="Salgueiro","Cornélio de Barros",IF(BJ84="Vitória-PE","Carneirão",IF(BJ84="Serra Talhada","Nildo Pereira",IF(BJ84="Ypiranga","Otávio Limeira",IF(BJ84="América-PE","Ademir Cunha",IF(BJ84="Chã Grande","Carneirão",IF(BJ84="Pesqueira","Otávio Limeira","Estadio Indefinido")))))))))</f>
        <v>Otávio Limeira</v>
      </c>
      <c r="CO84" s="43"/>
    </row>
    <row r="85" spans="2:93">
      <c r="M85" s="7" t="str">
        <f t="shared" si="100"/>
        <v/>
      </c>
      <c r="S85" s="8" t="str">
        <f t="shared" si="101"/>
        <v/>
      </c>
      <c r="T85" s="2">
        <f t="shared" si="102"/>
        <v>0</v>
      </c>
      <c r="U85" s="2">
        <f t="shared" si="103"/>
        <v>0</v>
      </c>
      <c r="V85" s="2">
        <f t="shared" si="104"/>
        <v>0</v>
      </c>
      <c r="W85" s="2">
        <f t="shared" si="105"/>
        <v>0</v>
      </c>
      <c r="X85" s="2">
        <f t="shared" si="106"/>
        <v>0</v>
      </c>
      <c r="Y85" s="2">
        <f t="shared" si="107"/>
        <v>0</v>
      </c>
      <c r="BI85" s="7">
        <f t="shared" si="82"/>
        <v>3</v>
      </c>
      <c r="BJ85" s="18" t="str">
        <f>BN80</f>
        <v>América-PE</v>
      </c>
      <c r="BK85" s="34">
        <v>1</v>
      </c>
      <c r="BL85" s="18" t="s">
        <v>22</v>
      </c>
      <c r="BM85" s="34">
        <v>0</v>
      </c>
      <c r="BN85" s="18" t="str">
        <f>BX66</f>
        <v>Chã Grande</v>
      </c>
      <c r="BO85" s="7">
        <f t="shared" si="96"/>
        <v>0</v>
      </c>
      <c r="BP85" s="2">
        <f t="shared" si="109"/>
        <v>1</v>
      </c>
      <c r="BQ85" s="2">
        <f t="shared" si="84"/>
        <v>0</v>
      </c>
      <c r="BR85" s="2">
        <f t="shared" si="85"/>
        <v>0</v>
      </c>
      <c r="BS85" s="2">
        <f t="shared" si="86"/>
        <v>0</v>
      </c>
      <c r="BT85" s="2">
        <f t="shared" si="87"/>
        <v>0</v>
      </c>
      <c r="BU85" s="2">
        <f t="shared" si="88"/>
        <v>1</v>
      </c>
      <c r="CL85" s="62">
        <v>41696</v>
      </c>
      <c r="CM85" s="43"/>
      <c r="CN85" s="43" t="str">
        <f t="shared" si="111"/>
        <v>Ademir Cunha</v>
      </c>
      <c r="CO85" s="43"/>
    </row>
    <row r="86" spans="2:93">
      <c r="B86" s="42" t="s">
        <v>60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7" t="str">
        <f t="shared" si="100"/>
        <v/>
      </c>
      <c r="N86" s="80" t="s">
        <v>36</v>
      </c>
      <c r="O86" s="57"/>
      <c r="P86" s="57"/>
      <c r="Q86" s="57"/>
      <c r="R86" s="58"/>
      <c r="S86" s="8" t="str">
        <f t="shared" si="101"/>
        <v/>
      </c>
      <c r="T86" s="2">
        <f t="shared" si="102"/>
        <v>0</v>
      </c>
      <c r="U86" s="2">
        <f t="shared" si="103"/>
        <v>0</v>
      </c>
      <c r="V86" s="2">
        <f t="shared" si="104"/>
        <v>0</v>
      </c>
      <c r="W86" s="2">
        <f t="shared" si="105"/>
        <v>0</v>
      </c>
      <c r="X86" s="2">
        <f t="shared" si="106"/>
        <v>0</v>
      </c>
      <c r="Y86" s="2">
        <f t="shared" si="107"/>
        <v>0</v>
      </c>
      <c r="BI86" s="7">
        <f t="shared" si="82"/>
        <v>3</v>
      </c>
      <c r="BJ86" s="18" t="str">
        <f>BN79</f>
        <v>Pesqueira</v>
      </c>
      <c r="BK86" s="34">
        <v>1</v>
      </c>
      <c r="BL86" s="18" t="s">
        <v>22</v>
      </c>
      <c r="BM86" s="34">
        <v>0</v>
      </c>
      <c r="BN86" s="18" t="str">
        <f>BJ81</f>
        <v>Vitória-PE</v>
      </c>
      <c r="BO86" s="7">
        <f t="shared" si="96"/>
        <v>0</v>
      </c>
      <c r="BP86" s="2">
        <f t="shared" si="109"/>
        <v>1</v>
      </c>
      <c r="BQ86" s="2">
        <f t="shared" si="84"/>
        <v>0</v>
      </c>
      <c r="BR86" s="2">
        <f t="shared" si="85"/>
        <v>0</v>
      </c>
      <c r="BS86" s="2">
        <f t="shared" si="86"/>
        <v>0</v>
      </c>
      <c r="BT86" s="2">
        <f t="shared" si="87"/>
        <v>0</v>
      </c>
      <c r="BU86" s="2">
        <f t="shared" si="88"/>
        <v>1</v>
      </c>
      <c r="CL86" s="62">
        <v>41696</v>
      </c>
      <c r="CM86" s="43"/>
      <c r="CN86" s="43" t="str">
        <f t="shared" si="111"/>
        <v>Otávio Limeira</v>
      </c>
      <c r="CO86" s="43"/>
    </row>
    <row r="87" spans="2:93">
      <c r="M87" s="7">
        <f t="shared" si="100"/>
        <v>0</v>
      </c>
      <c r="N87" s="3" t="s">
        <v>16</v>
      </c>
      <c r="O87" s="37">
        <v>0</v>
      </c>
      <c r="P87" s="3" t="s">
        <v>22</v>
      </c>
      <c r="Q87" s="37">
        <v>1</v>
      </c>
      <c r="R87" s="3" t="s">
        <v>21</v>
      </c>
      <c r="S87" s="8">
        <f t="shared" si="101"/>
        <v>3</v>
      </c>
      <c r="T87" s="2">
        <f t="shared" si="102"/>
        <v>0</v>
      </c>
      <c r="U87" s="2">
        <f t="shared" si="103"/>
        <v>1</v>
      </c>
      <c r="V87" s="2">
        <f t="shared" si="104"/>
        <v>0</v>
      </c>
      <c r="W87" s="2">
        <f t="shared" si="105"/>
        <v>0</v>
      </c>
      <c r="X87" s="2">
        <f t="shared" si="106"/>
        <v>1</v>
      </c>
      <c r="Y87" s="2">
        <f t="shared" si="107"/>
        <v>0</v>
      </c>
      <c r="AP87" s="62">
        <v>41661</v>
      </c>
      <c r="AQ87" s="43"/>
      <c r="AR87" s="43" t="s">
        <v>55</v>
      </c>
      <c r="AS87" s="43"/>
      <c r="BI87" s="7" t="str">
        <f t="shared" si="82"/>
        <v/>
      </c>
      <c r="BO87" s="7" t="str">
        <f t="shared" si="96"/>
        <v/>
      </c>
      <c r="BP87" s="2">
        <f t="shared" si="109"/>
        <v>0</v>
      </c>
      <c r="BQ87" s="2">
        <f t="shared" si="84"/>
        <v>0</v>
      </c>
      <c r="BR87" s="2">
        <f t="shared" si="85"/>
        <v>0</v>
      </c>
      <c r="BS87" s="2">
        <f t="shared" si="86"/>
        <v>0</v>
      </c>
      <c r="BT87" s="2">
        <f t="shared" si="87"/>
        <v>0</v>
      </c>
      <c r="BU87" s="2">
        <f t="shared" si="88"/>
        <v>0</v>
      </c>
    </row>
    <row r="88" spans="2:93">
      <c r="B88" s="73" t="str">
        <f>B64</f>
        <v>Classificados</v>
      </c>
      <c r="C88" s="73"/>
      <c r="D88" s="73"/>
      <c r="E88" s="44" t="str">
        <f>E64</f>
        <v>Salgueiro</v>
      </c>
      <c r="F88" s="45"/>
      <c r="G88" s="44" t="str">
        <f>G64</f>
        <v>Central</v>
      </c>
      <c r="H88" s="45"/>
      <c r="I88" s="44" t="str">
        <f>I64</f>
        <v>Porto</v>
      </c>
      <c r="J88" s="41"/>
      <c r="K88" s="45"/>
      <c r="M88" s="7">
        <f t="shared" si="100"/>
        <v>1</v>
      </c>
      <c r="N88" s="3" t="s">
        <v>14</v>
      </c>
      <c r="O88" s="37">
        <v>0</v>
      </c>
      <c r="P88" s="3" t="s">
        <v>22</v>
      </c>
      <c r="Q88" s="37">
        <v>0</v>
      </c>
      <c r="R88" s="3" t="s">
        <v>24</v>
      </c>
      <c r="S88" s="8">
        <f t="shared" si="101"/>
        <v>1</v>
      </c>
      <c r="T88" s="2">
        <f t="shared" si="102"/>
        <v>0</v>
      </c>
      <c r="U88" s="2">
        <f t="shared" si="103"/>
        <v>0</v>
      </c>
      <c r="V88" s="2">
        <f t="shared" si="104"/>
        <v>1</v>
      </c>
      <c r="W88" s="2">
        <f t="shared" si="105"/>
        <v>1</v>
      </c>
      <c r="X88" s="2">
        <f t="shared" si="106"/>
        <v>0</v>
      </c>
      <c r="Y88" s="2">
        <f t="shared" si="107"/>
        <v>0</v>
      </c>
      <c r="AP88" s="62">
        <v>41661</v>
      </c>
      <c r="AQ88" s="43"/>
      <c r="AR88" s="43" t="s">
        <v>51</v>
      </c>
      <c r="AS88" s="43"/>
      <c r="BI88" s="7" t="str">
        <f t="shared" si="82"/>
        <v/>
      </c>
      <c r="BJ88" s="80" t="s">
        <v>28</v>
      </c>
      <c r="BK88" s="57"/>
      <c r="BL88" s="57"/>
      <c r="BM88" s="57"/>
      <c r="BN88" s="58"/>
      <c r="BO88" s="7" t="str">
        <f t="shared" si="96"/>
        <v/>
      </c>
      <c r="BP88" s="2">
        <f t="shared" si="109"/>
        <v>0</v>
      </c>
      <c r="BQ88" s="2">
        <f t="shared" si="84"/>
        <v>0</v>
      </c>
      <c r="BR88" s="2">
        <f t="shared" si="85"/>
        <v>0</v>
      </c>
      <c r="BS88" s="2">
        <f t="shared" si="86"/>
        <v>0</v>
      </c>
      <c r="BT88" s="2">
        <f t="shared" si="87"/>
        <v>0</v>
      </c>
      <c r="BU88" s="2">
        <f t="shared" si="88"/>
        <v>0</v>
      </c>
    </row>
    <row r="89" spans="2:93">
      <c r="G89" s="75"/>
      <c r="H89" s="75"/>
      <c r="I89" s="75"/>
      <c r="J89" s="75"/>
      <c r="K89" s="75"/>
      <c r="M89" s="7">
        <f t="shared" si="100"/>
        <v>0</v>
      </c>
      <c r="N89" s="3" t="s">
        <v>15</v>
      </c>
      <c r="O89" s="37">
        <v>0</v>
      </c>
      <c r="P89" s="3" t="s">
        <v>22</v>
      </c>
      <c r="Q89" s="37">
        <v>2</v>
      </c>
      <c r="R89" s="3" t="s">
        <v>48</v>
      </c>
      <c r="S89" s="8">
        <f t="shared" si="101"/>
        <v>3</v>
      </c>
      <c r="T89" s="2">
        <f t="shared" si="102"/>
        <v>0</v>
      </c>
      <c r="U89" s="2">
        <f t="shared" si="103"/>
        <v>1</v>
      </c>
      <c r="V89" s="2">
        <f t="shared" si="104"/>
        <v>0</v>
      </c>
      <c r="W89" s="2">
        <f t="shared" si="105"/>
        <v>0</v>
      </c>
      <c r="X89" s="2">
        <f t="shared" si="106"/>
        <v>1</v>
      </c>
      <c r="Y89" s="2">
        <f t="shared" si="107"/>
        <v>0</v>
      </c>
      <c r="AP89" s="62">
        <v>41661</v>
      </c>
      <c r="AQ89" s="43"/>
      <c r="AR89" s="43" t="s">
        <v>52</v>
      </c>
      <c r="AS89" s="43"/>
      <c r="BI89" s="7">
        <f t="shared" si="82"/>
        <v>0</v>
      </c>
      <c r="BJ89" s="18" t="str">
        <f>BN85</f>
        <v>Chã Grande</v>
      </c>
      <c r="BK89" s="34">
        <v>0</v>
      </c>
      <c r="BL89" s="18" t="s">
        <v>22</v>
      </c>
      <c r="BM89" s="34">
        <v>4</v>
      </c>
      <c r="BN89" s="18" t="str">
        <f>BN86</f>
        <v>Vitória-PE</v>
      </c>
      <c r="BO89" s="7">
        <f t="shared" si="96"/>
        <v>3</v>
      </c>
      <c r="BP89" s="2">
        <f t="shared" si="109"/>
        <v>0</v>
      </c>
      <c r="BQ89" s="2">
        <f t="shared" si="84"/>
        <v>1</v>
      </c>
      <c r="BR89" s="2">
        <f t="shared" si="85"/>
        <v>0</v>
      </c>
      <c r="BS89" s="2">
        <f t="shared" si="86"/>
        <v>0</v>
      </c>
      <c r="BT89" s="2">
        <f t="shared" si="87"/>
        <v>1</v>
      </c>
      <c r="BU89" s="2">
        <f t="shared" si="88"/>
        <v>0</v>
      </c>
      <c r="CL89" s="62">
        <v>41707</v>
      </c>
      <c r="CM89" s="43"/>
      <c r="CN89" s="43" t="str">
        <f t="shared" ref="CN89:CN91" si="112">IF(BJ89="Central","Lacerdão",IF(BJ89="Porto","Lacerdão",IF(BJ89="Salgueiro","Cornélio de Barros",IF(BJ89="Vitória-PE","Carneirão",IF(BJ89="Serra Talhada","Nildo Pereira",IF(BJ89="Ypiranga","Otávio Limeira",IF(BJ89="América-PE","Ademir Cunha",IF(BJ89="Chã Grande","Carneirão",IF(BJ89="Pesqueira","Otávio Limeira","Estadio Indefinido")))))))))</f>
        <v>Carneirão</v>
      </c>
      <c r="CO89" s="43"/>
    </row>
    <row r="90" spans="2:93">
      <c r="B90" s="73" t="s">
        <v>61</v>
      </c>
      <c r="C90" s="73"/>
      <c r="D90" s="73"/>
      <c r="E90" s="43">
        <f>E66</f>
        <v>11</v>
      </c>
      <c r="F90" s="43"/>
      <c r="M90" s="7">
        <f t="shared" si="100"/>
        <v>3</v>
      </c>
      <c r="N90" s="3" t="s">
        <v>19</v>
      </c>
      <c r="O90" s="37">
        <v>2</v>
      </c>
      <c r="P90" s="3" t="s">
        <v>22</v>
      </c>
      <c r="Q90" s="37">
        <v>0</v>
      </c>
      <c r="R90" s="3" t="s">
        <v>20</v>
      </c>
      <c r="S90" s="8">
        <f t="shared" si="101"/>
        <v>0</v>
      </c>
      <c r="T90" s="2">
        <f t="shared" si="102"/>
        <v>1</v>
      </c>
      <c r="U90" s="2">
        <f t="shared" si="103"/>
        <v>0</v>
      </c>
      <c r="V90" s="2">
        <f t="shared" si="104"/>
        <v>0</v>
      </c>
      <c r="W90" s="2">
        <f t="shared" si="105"/>
        <v>0</v>
      </c>
      <c r="X90" s="2">
        <f t="shared" si="106"/>
        <v>0</v>
      </c>
      <c r="Y90" s="2">
        <f t="shared" si="107"/>
        <v>1</v>
      </c>
      <c r="AP90" s="62">
        <v>41661</v>
      </c>
      <c r="AQ90" s="43"/>
      <c r="AR90" s="43" t="s">
        <v>53</v>
      </c>
      <c r="AS90" s="43"/>
      <c r="BI90" s="7">
        <f t="shared" si="82"/>
        <v>0</v>
      </c>
      <c r="BJ90" s="18" t="str">
        <f>BJ86</f>
        <v>Pesqueira</v>
      </c>
      <c r="BK90" s="34">
        <v>0</v>
      </c>
      <c r="BL90" s="18" t="s">
        <v>22</v>
      </c>
      <c r="BM90" s="34">
        <v>1</v>
      </c>
      <c r="BN90" s="18" t="str">
        <f>BN84</f>
        <v>Serra Talhada</v>
      </c>
      <c r="BO90" s="7">
        <f t="shared" si="96"/>
        <v>3</v>
      </c>
      <c r="BP90" s="2">
        <f t="shared" si="109"/>
        <v>0</v>
      </c>
      <c r="BQ90" s="2">
        <f t="shared" si="84"/>
        <v>1</v>
      </c>
      <c r="BR90" s="2">
        <f t="shared" si="85"/>
        <v>0</v>
      </c>
      <c r="BS90" s="2">
        <f t="shared" si="86"/>
        <v>0</v>
      </c>
      <c r="BT90" s="2">
        <f t="shared" si="87"/>
        <v>1</v>
      </c>
      <c r="BU90" s="2">
        <f t="shared" si="88"/>
        <v>0</v>
      </c>
      <c r="CL90" s="62">
        <v>41707</v>
      </c>
      <c r="CM90" s="43"/>
      <c r="CN90" s="43" t="str">
        <f t="shared" si="112"/>
        <v>Otávio Limeira</v>
      </c>
      <c r="CO90" s="43"/>
    </row>
    <row r="91" spans="2:93">
      <c r="B91" s="73" t="s">
        <v>62</v>
      </c>
      <c r="C91" s="73"/>
      <c r="D91" s="73"/>
      <c r="E91" s="43">
        <f>E67</f>
        <v>7</v>
      </c>
      <c r="F91" s="43"/>
      <c r="M91" s="7" t="str">
        <f t="shared" si="100"/>
        <v/>
      </c>
      <c r="S91" s="8" t="str">
        <f t="shared" si="101"/>
        <v/>
      </c>
      <c r="T91" s="2">
        <f t="shared" si="102"/>
        <v>0</v>
      </c>
      <c r="U91" s="2">
        <f t="shared" si="103"/>
        <v>0</v>
      </c>
      <c r="V91" s="2">
        <f t="shared" si="104"/>
        <v>0</v>
      </c>
      <c r="W91" s="2">
        <f t="shared" si="105"/>
        <v>0</v>
      </c>
      <c r="X91" s="2">
        <f t="shared" si="106"/>
        <v>0</v>
      </c>
      <c r="Y91" s="2">
        <f t="shared" si="107"/>
        <v>0</v>
      </c>
      <c r="BI91" s="7">
        <f t="shared" si="82"/>
        <v>0</v>
      </c>
      <c r="BJ91" s="18" t="str">
        <f>BJ85</f>
        <v>América-PE</v>
      </c>
      <c r="BK91" s="34">
        <v>0</v>
      </c>
      <c r="BL91" s="18" t="s">
        <v>22</v>
      </c>
      <c r="BM91" s="34">
        <v>2</v>
      </c>
      <c r="BN91" s="18" t="str">
        <f>BJ84</f>
        <v>Ypiranga</v>
      </c>
      <c r="BO91" s="7">
        <f t="shared" si="96"/>
        <v>3</v>
      </c>
      <c r="BP91" s="2">
        <f t="shared" si="109"/>
        <v>0</v>
      </c>
      <c r="BQ91" s="2">
        <f t="shared" si="84"/>
        <v>1</v>
      </c>
      <c r="BR91" s="2">
        <f t="shared" si="85"/>
        <v>0</v>
      </c>
      <c r="BS91" s="2">
        <f t="shared" si="86"/>
        <v>0</v>
      </c>
      <c r="BT91" s="2">
        <f t="shared" si="87"/>
        <v>1</v>
      </c>
      <c r="BU91" s="2">
        <f t="shared" si="88"/>
        <v>0</v>
      </c>
      <c r="CL91" s="62">
        <v>41707</v>
      </c>
      <c r="CM91" s="43"/>
      <c r="CN91" s="43" t="str">
        <f t="shared" si="112"/>
        <v>Ademir Cunha</v>
      </c>
      <c r="CO91" s="43"/>
    </row>
    <row r="92" spans="2:93">
      <c r="B92" s="73" t="s">
        <v>63</v>
      </c>
      <c r="C92" s="73"/>
      <c r="D92" s="73"/>
      <c r="E92" s="43">
        <f t="shared" ref="E92:E95" si="113">E68</f>
        <v>10</v>
      </c>
      <c r="F92" s="43"/>
      <c r="M92" s="7" t="str">
        <f t="shared" si="100"/>
        <v/>
      </c>
      <c r="N92" s="80" t="s">
        <v>37</v>
      </c>
      <c r="O92" s="57"/>
      <c r="P92" s="57"/>
      <c r="Q92" s="57"/>
      <c r="R92" s="58"/>
      <c r="S92" s="8" t="str">
        <f t="shared" si="101"/>
        <v/>
      </c>
      <c r="T92" s="2">
        <f t="shared" si="102"/>
        <v>0</v>
      </c>
      <c r="U92" s="2">
        <f t="shared" si="103"/>
        <v>0</v>
      </c>
      <c r="V92" s="2">
        <f t="shared" si="104"/>
        <v>0</v>
      </c>
      <c r="W92" s="2">
        <f t="shared" si="105"/>
        <v>0</v>
      </c>
      <c r="X92" s="2">
        <f t="shared" si="106"/>
        <v>0</v>
      </c>
      <c r="Y92" s="2">
        <f t="shared" si="107"/>
        <v>0</v>
      </c>
      <c r="BI92" s="7" t="str">
        <f t="shared" si="82"/>
        <v/>
      </c>
      <c r="BO92" s="7" t="str">
        <f t="shared" si="96"/>
        <v/>
      </c>
      <c r="BP92" s="2">
        <f t="shared" si="109"/>
        <v>0</v>
      </c>
      <c r="BQ92" s="2">
        <f t="shared" si="84"/>
        <v>0</v>
      </c>
      <c r="BR92" s="2">
        <f t="shared" si="85"/>
        <v>0</v>
      </c>
      <c r="BS92" s="2">
        <f t="shared" si="86"/>
        <v>0</v>
      </c>
      <c r="BT92" s="2">
        <f t="shared" si="87"/>
        <v>0</v>
      </c>
      <c r="BU92" s="2">
        <f t="shared" si="88"/>
        <v>0</v>
      </c>
    </row>
    <row r="93" spans="2:93">
      <c r="B93" s="73" t="s">
        <v>64</v>
      </c>
      <c r="C93" s="73"/>
      <c r="D93" s="73"/>
      <c r="E93" s="43">
        <f t="shared" si="113"/>
        <v>29</v>
      </c>
      <c r="F93" s="43"/>
      <c r="M93" s="7">
        <f t="shared" si="100"/>
        <v>0</v>
      </c>
      <c r="N93" s="3" t="s">
        <v>18</v>
      </c>
      <c r="O93" s="37">
        <v>1</v>
      </c>
      <c r="P93" s="3" t="s">
        <v>22</v>
      </c>
      <c r="Q93" s="37">
        <v>2</v>
      </c>
      <c r="R93" s="3" t="s">
        <v>15</v>
      </c>
      <c r="S93" s="8">
        <f t="shared" si="101"/>
        <v>3</v>
      </c>
      <c r="T93" s="2">
        <f t="shared" si="102"/>
        <v>0</v>
      </c>
      <c r="U93" s="2">
        <f t="shared" si="103"/>
        <v>1</v>
      </c>
      <c r="V93" s="2">
        <f t="shared" si="104"/>
        <v>0</v>
      </c>
      <c r="W93" s="2">
        <f t="shared" si="105"/>
        <v>0</v>
      </c>
      <c r="X93" s="2">
        <f t="shared" si="106"/>
        <v>1</v>
      </c>
      <c r="Y93" s="2">
        <f t="shared" si="107"/>
        <v>0</v>
      </c>
      <c r="AP93" s="62">
        <v>41665</v>
      </c>
      <c r="AQ93" s="43"/>
      <c r="AR93" s="43" t="s">
        <v>53</v>
      </c>
      <c r="AS93" s="43"/>
      <c r="BI93" s="7" t="str">
        <f t="shared" si="82"/>
        <v/>
      </c>
      <c r="BJ93" s="80" t="s">
        <v>29</v>
      </c>
      <c r="BK93" s="57"/>
      <c r="BL93" s="57"/>
      <c r="BM93" s="57"/>
      <c r="BN93" s="58"/>
      <c r="BO93" s="7" t="str">
        <f t="shared" si="96"/>
        <v/>
      </c>
      <c r="BP93" s="2">
        <f t="shared" si="109"/>
        <v>0</v>
      </c>
      <c r="BQ93" s="2">
        <f t="shared" si="84"/>
        <v>0</v>
      </c>
      <c r="BR93" s="2">
        <f t="shared" si="85"/>
        <v>0</v>
      </c>
      <c r="BS93" s="2">
        <f t="shared" si="86"/>
        <v>0</v>
      </c>
      <c r="BT93" s="2">
        <f t="shared" si="87"/>
        <v>0</v>
      </c>
      <c r="BU93" s="2">
        <f t="shared" si="88"/>
        <v>0</v>
      </c>
    </row>
    <row r="94" spans="2:93">
      <c r="B94" s="73" t="s">
        <v>65</v>
      </c>
      <c r="C94" s="73"/>
      <c r="D94" s="73"/>
      <c r="E94" s="43">
        <f t="shared" si="113"/>
        <v>152</v>
      </c>
      <c r="F94" s="43"/>
      <c r="M94" s="7">
        <f t="shared" si="100"/>
        <v>0</v>
      </c>
      <c r="N94" s="3" t="s">
        <v>24</v>
      </c>
      <c r="O94" s="37">
        <v>0</v>
      </c>
      <c r="P94" s="3" t="s">
        <v>22</v>
      </c>
      <c r="Q94" s="37">
        <v>1</v>
      </c>
      <c r="R94" s="3" t="s">
        <v>16</v>
      </c>
      <c r="S94" s="8">
        <f t="shared" si="101"/>
        <v>3</v>
      </c>
      <c r="T94" s="2">
        <f t="shared" si="102"/>
        <v>0</v>
      </c>
      <c r="U94" s="2">
        <f t="shared" si="103"/>
        <v>1</v>
      </c>
      <c r="V94" s="2">
        <f t="shared" si="104"/>
        <v>0</v>
      </c>
      <c r="W94" s="2">
        <f t="shared" si="105"/>
        <v>0</v>
      </c>
      <c r="X94" s="2">
        <f t="shared" si="106"/>
        <v>1</v>
      </c>
      <c r="Y94" s="2">
        <f t="shared" si="107"/>
        <v>0</v>
      </c>
      <c r="AP94" s="62">
        <v>41665</v>
      </c>
      <c r="AQ94" s="43"/>
      <c r="AR94" s="43" t="s">
        <v>57</v>
      </c>
      <c r="AS94" s="43"/>
      <c r="BI94" s="7">
        <f t="shared" si="82"/>
        <v>1</v>
      </c>
      <c r="BJ94" s="18" t="str">
        <f>BN90</f>
        <v>Serra Talhada</v>
      </c>
      <c r="BK94" s="34">
        <v>0</v>
      </c>
      <c r="BL94" s="18" t="s">
        <v>22</v>
      </c>
      <c r="BM94" s="34">
        <v>0</v>
      </c>
      <c r="BN94" s="18" t="str">
        <f>BJ89</f>
        <v>Chã Grande</v>
      </c>
      <c r="BO94" s="7">
        <f t="shared" si="96"/>
        <v>1</v>
      </c>
      <c r="BP94" s="2">
        <f t="shared" si="109"/>
        <v>0</v>
      </c>
      <c r="BQ94" s="2">
        <f t="shared" si="84"/>
        <v>0</v>
      </c>
      <c r="BR94" s="2">
        <f t="shared" si="85"/>
        <v>1</v>
      </c>
      <c r="BS94" s="2">
        <f t="shared" si="86"/>
        <v>1</v>
      </c>
      <c r="BT94" s="2">
        <f t="shared" si="87"/>
        <v>0</v>
      </c>
      <c r="BU94" s="2">
        <f t="shared" si="88"/>
        <v>0</v>
      </c>
      <c r="CL94" s="62">
        <v>41710</v>
      </c>
      <c r="CM94" s="43"/>
      <c r="CN94" s="43" t="str">
        <f t="shared" ref="CN94:CN96" si="114">IF(BJ94="Central","Lacerdão",IF(BJ94="Porto","Lacerdão",IF(BJ94="Salgueiro","Cornélio de Barros",IF(BJ94="Vitória-PE","Carneirão",IF(BJ94="Serra Talhada","Nildo Pereira",IF(BJ94="Ypiranga","Otávio Limeira",IF(BJ94="América-PE","Ademir Cunha",IF(BJ94="Chã Grande","Carneirão",IF(BJ94="Pesqueira","Otávio Limeira","Estadio Indefinido")))))))))</f>
        <v>Nildo Pereira</v>
      </c>
      <c r="CO94" s="43"/>
    </row>
    <row r="95" spans="2:93">
      <c r="B95" s="73" t="str">
        <f>B71</f>
        <v>total de jogos</v>
      </c>
      <c r="C95" s="73"/>
      <c r="D95" s="73"/>
      <c r="E95" s="56">
        <f t="shared" si="113"/>
        <v>144</v>
      </c>
      <c r="F95" s="56"/>
      <c r="M95" s="7">
        <f t="shared" si="100"/>
        <v>0</v>
      </c>
      <c r="N95" s="3" t="s">
        <v>20</v>
      </c>
      <c r="O95" s="37">
        <v>0</v>
      </c>
      <c r="P95" s="3" t="s">
        <v>22</v>
      </c>
      <c r="Q95" s="37">
        <v>1</v>
      </c>
      <c r="R95" s="3" t="s">
        <v>14</v>
      </c>
      <c r="S95" s="8">
        <f t="shared" si="101"/>
        <v>3</v>
      </c>
      <c r="T95" s="2">
        <f t="shared" si="102"/>
        <v>0</v>
      </c>
      <c r="U95" s="2">
        <f t="shared" si="103"/>
        <v>1</v>
      </c>
      <c r="V95" s="2">
        <f t="shared" si="104"/>
        <v>0</v>
      </c>
      <c r="W95" s="2">
        <f t="shared" si="105"/>
        <v>0</v>
      </c>
      <c r="X95" s="2">
        <f t="shared" si="106"/>
        <v>1</v>
      </c>
      <c r="Y95" s="2">
        <f t="shared" si="107"/>
        <v>0</v>
      </c>
      <c r="AP95" s="62">
        <v>41665</v>
      </c>
      <c r="AQ95" s="43"/>
      <c r="AR95" s="43" t="s">
        <v>54</v>
      </c>
      <c r="AS95" s="43"/>
      <c r="BI95" s="7">
        <f t="shared" si="82"/>
        <v>0</v>
      </c>
      <c r="BJ95" s="18" t="str">
        <f>BN89</f>
        <v>Vitória-PE</v>
      </c>
      <c r="BK95" s="34">
        <v>0</v>
      </c>
      <c r="BL95" s="18" t="s">
        <v>22</v>
      </c>
      <c r="BM95" s="34">
        <v>1</v>
      </c>
      <c r="BN95" s="18" t="str">
        <f>BJ91</f>
        <v>América-PE</v>
      </c>
      <c r="BO95" s="7">
        <f t="shared" si="96"/>
        <v>3</v>
      </c>
      <c r="BP95" s="2">
        <f t="shared" si="109"/>
        <v>0</v>
      </c>
      <c r="BQ95" s="2">
        <f t="shared" si="84"/>
        <v>1</v>
      </c>
      <c r="BR95" s="2">
        <f t="shared" si="85"/>
        <v>0</v>
      </c>
      <c r="BS95" s="2">
        <f t="shared" si="86"/>
        <v>0</v>
      </c>
      <c r="BT95" s="2">
        <f t="shared" si="87"/>
        <v>1</v>
      </c>
      <c r="BU95" s="2">
        <f t="shared" si="88"/>
        <v>0</v>
      </c>
      <c r="CL95" s="62">
        <v>41710</v>
      </c>
      <c r="CM95" s="43"/>
      <c r="CN95" s="43" t="str">
        <f t="shared" si="114"/>
        <v>Carneirão</v>
      </c>
      <c r="CO95" s="43"/>
    </row>
    <row r="96" spans="2:93">
      <c r="M96" s="7">
        <f t="shared" si="100"/>
        <v>3</v>
      </c>
      <c r="N96" s="3" t="s">
        <v>21</v>
      </c>
      <c r="O96" s="37">
        <v>2</v>
      </c>
      <c r="P96" s="3" t="s">
        <v>22</v>
      </c>
      <c r="Q96" s="37">
        <v>0</v>
      </c>
      <c r="R96" s="3" t="s">
        <v>19</v>
      </c>
      <c r="S96" s="8">
        <f t="shared" si="101"/>
        <v>0</v>
      </c>
      <c r="T96" s="2">
        <f t="shared" si="102"/>
        <v>1</v>
      </c>
      <c r="U96" s="2">
        <f t="shared" si="103"/>
        <v>0</v>
      </c>
      <c r="V96" s="2">
        <f t="shared" si="104"/>
        <v>0</v>
      </c>
      <c r="W96" s="2">
        <f t="shared" si="105"/>
        <v>0</v>
      </c>
      <c r="X96" s="2">
        <f t="shared" si="106"/>
        <v>0</v>
      </c>
      <c r="Y96" s="2">
        <f t="shared" si="107"/>
        <v>1</v>
      </c>
      <c r="AP96" s="62">
        <v>41665</v>
      </c>
      <c r="AQ96" s="43"/>
      <c r="AR96" s="43" t="s">
        <v>56</v>
      </c>
      <c r="AS96" s="43"/>
      <c r="BI96" s="7">
        <f t="shared" si="82"/>
        <v>1</v>
      </c>
      <c r="BJ96" s="18" t="str">
        <f>BN91</f>
        <v>Ypiranga</v>
      </c>
      <c r="BK96" s="34">
        <v>0</v>
      </c>
      <c r="BL96" s="18" t="s">
        <v>22</v>
      </c>
      <c r="BM96" s="34">
        <v>0</v>
      </c>
      <c r="BN96" s="18" t="str">
        <f>BJ90</f>
        <v>Pesqueira</v>
      </c>
      <c r="BO96" s="7">
        <f t="shared" si="96"/>
        <v>1</v>
      </c>
      <c r="BP96" s="2">
        <f t="shared" si="109"/>
        <v>0</v>
      </c>
      <c r="BQ96" s="2">
        <f t="shared" si="84"/>
        <v>0</v>
      </c>
      <c r="BR96" s="2">
        <f t="shared" si="85"/>
        <v>1</v>
      </c>
      <c r="BS96" s="2">
        <f t="shared" si="86"/>
        <v>1</v>
      </c>
      <c r="BT96" s="2">
        <f t="shared" si="87"/>
        <v>0</v>
      </c>
      <c r="BU96" s="2">
        <f t="shared" si="88"/>
        <v>0</v>
      </c>
      <c r="CL96" s="62">
        <v>41710</v>
      </c>
      <c r="CM96" s="43"/>
      <c r="CN96" s="43" t="str">
        <f t="shared" si="114"/>
        <v>Otávio Limeira</v>
      </c>
      <c r="CO96" s="43"/>
    </row>
    <row r="97" spans="2:93">
      <c r="M97" s="7" t="str">
        <f t="shared" si="100"/>
        <v/>
      </c>
      <c r="S97" s="8" t="str">
        <f t="shared" si="101"/>
        <v/>
      </c>
      <c r="T97" s="2">
        <f t="shared" si="102"/>
        <v>0</v>
      </c>
      <c r="U97" s="2">
        <f t="shared" si="103"/>
        <v>0</v>
      </c>
      <c r="V97" s="2">
        <f t="shared" si="104"/>
        <v>0</v>
      </c>
      <c r="W97" s="2">
        <f t="shared" si="105"/>
        <v>0</v>
      </c>
      <c r="X97" s="2">
        <f t="shared" si="106"/>
        <v>0</v>
      </c>
      <c r="Y97" s="2">
        <f t="shared" si="107"/>
        <v>0</v>
      </c>
      <c r="BI97" s="7" t="str">
        <f t="shared" si="82"/>
        <v/>
      </c>
      <c r="BO97" s="7" t="str">
        <f t="shared" si="96"/>
        <v/>
      </c>
      <c r="BP97" s="2">
        <f t="shared" si="109"/>
        <v>0</v>
      </c>
      <c r="BQ97" s="2">
        <f t="shared" si="84"/>
        <v>0</v>
      </c>
      <c r="BR97" s="2">
        <f t="shared" si="85"/>
        <v>0</v>
      </c>
      <c r="BS97" s="2">
        <f t="shared" si="86"/>
        <v>0</v>
      </c>
      <c r="BT97" s="2">
        <f t="shared" si="87"/>
        <v>0</v>
      </c>
      <c r="BU97" s="2">
        <f t="shared" si="88"/>
        <v>0</v>
      </c>
    </row>
    <row r="98" spans="2:93">
      <c r="M98" s="7" t="str">
        <f t="shared" si="100"/>
        <v/>
      </c>
      <c r="N98" s="80" t="s">
        <v>38</v>
      </c>
      <c r="O98" s="57"/>
      <c r="P98" s="57"/>
      <c r="Q98" s="57"/>
      <c r="R98" s="58"/>
      <c r="S98" s="8" t="str">
        <f t="shared" si="101"/>
        <v/>
      </c>
      <c r="T98" s="2">
        <f t="shared" si="102"/>
        <v>0</v>
      </c>
      <c r="U98" s="2">
        <f t="shared" si="103"/>
        <v>0</v>
      </c>
      <c r="V98" s="2">
        <f t="shared" si="104"/>
        <v>0</v>
      </c>
      <c r="W98" s="2">
        <f t="shared" si="105"/>
        <v>0</v>
      </c>
      <c r="X98" s="2">
        <f t="shared" si="106"/>
        <v>0</v>
      </c>
      <c r="Y98" s="2">
        <f t="shared" si="107"/>
        <v>0</v>
      </c>
      <c r="BI98" s="7" t="str">
        <f t="shared" si="82"/>
        <v/>
      </c>
      <c r="BJ98" s="80" t="s">
        <v>30</v>
      </c>
      <c r="BK98" s="57"/>
      <c r="BL98" s="57"/>
      <c r="BM98" s="57"/>
      <c r="BN98" s="58"/>
      <c r="BO98" s="7" t="str">
        <f t="shared" si="96"/>
        <v/>
      </c>
      <c r="BP98" s="2">
        <f t="shared" si="109"/>
        <v>0</v>
      </c>
      <c r="BQ98" s="2">
        <f t="shared" si="84"/>
        <v>0</v>
      </c>
      <c r="BR98" s="2">
        <f t="shared" si="85"/>
        <v>0</v>
      </c>
      <c r="BS98" s="2">
        <f t="shared" si="86"/>
        <v>0</v>
      </c>
      <c r="BT98" s="2">
        <f t="shared" si="87"/>
        <v>0</v>
      </c>
      <c r="BU98" s="2">
        <f t="shared" si="88"/>
        <v>0</v>
      </c>
    </row>
    <row r="99" spans="2:93">
      <c r="M99" s="7">
        <f t="shared" si="100"/>
        <v>3</v>
      </c>
      <c r="N99" s="3" t="s">
        <v>19</v>
      </c>
      <c r="O99" s="37">
        <v>2</v>
      </c>
      <c r="P99" s="3" t="s">
        <v>22</v>
      </c>
      <c r="Q99" s="37">
        <v>1</v>
      </c>
      <c r="R99" s="3" t="s">
        <v>16</v>
      </c>
      <c r="S99" s="8">
        <f t="shared" si="101"/>
        <v>0</v>
      </c>
      <c r="T99" s="2">
        <f t="shared" si="102"/>
        <v>1</v>
      </c>
      <c r="U99" s="2">
        <f t="shared" si="103"/>
        <v>0</v>
      </c>
      <c r="V99" s="2">
        <f t="shared" si="104"/>
        <v>0</v>
      </c>
      <c r="W99" s="2">
        <f t="shared" si="105"/>
        <v>0</v>
      </c>
      <c r="X99" s="2">
        <f t="shared" si="106"/>
        <v>0</v>
      </c>
      <c r="Y99" s="2">
        <f t="shared" si="107"/>
        <v>1</v>
      </c>
      <c r="AP99" s="62">
        <v>41668</v>
      </c>
      <c r="AQ99" s="43"/>
      <c r="AR99" s="43" t="s">
        <v>53</v>
      </c>
      <c r="AS99" s="43"/>
      <c r="BI99" s="7">
        <f t="shared" si="82"/>
        <v>1</v>
      </c>
      <c r="BJ99" s="18" t="str">
        <f>BN94</f>
        <v>Chã Grande</v>
      </c>
      <c r="BK99" s="34">
        <v>2</v>
      </c>
      <c r="BL99" s="18" t="s">
        <v>22</v>
      </c>
      <c r="BM99" s="34">
        <v>2</v>
      </c>
      <c r="BN99" s="18" t="str">
        <f>BJ96</f>
        <v>Ypiranga</v>
      </c>
      <c r="BO99" s="7">
        <f t="shared" si="96"/>
        <v>1</v>
      </c>
      <c r="BP99" s="2">
        <f t="shared" si="109"/>
        <v>0</v>
      </c>
      <c r="BQ99" s="2">
        <f t="shared" si="84"/>
        <v>0</v>
      </c>
      <c r="BR99" s="2">
        <f t="shared" si="85"/>
        <v>1</v>
      </c>
      <c r="BS99" s="2">
        <f t="shared" si="86"/>
        <v>1</v>
      </c>
      <c r="BT99" s="2">
        <f t="shared" si="87"/>
        <v>0</v>
      </c>
      <c r="BU99" s="2">
        <f t="shared" si="88"/>
        <v>0</v>
      </c>
      <c r="CL99" s="62">
        <v>41713</v>
      </c>
      <c r="CM99" s="43"/>
      <c r="CN99" s="43" t="str">
        <f t="shared" ref="CN99:CN101" si="115">IF(BJ99="Central","Lacerdão",IF(BJ99="Porto","Lacerdão",IF(BJ99="Salgueiro","Cornélio de Barros",IF(BJ99="Vitória-PE","Carneirão",IF(BJ99="Serra Talhada","Nildo Pereira",IF(BJ99="Ypiranga","Otávio Limeira",IF(BJ99="América-PE","Ademir Cunha",IF(BJ99="Chã Grande","Carneirão",IF(BJ99="Pesqueira","Otávio Limeira","Estadio Indefinido")))))))))</f>
        <v>Carneirão</v>
      </c>
      <c r="CO99" s="43"/>
    </row>
    <row r="100" spans="2:93">
      <c r="M100" s="7">
        <f t="shared" si="100"/>
        <v>0</v>
      </c>
      <c r="N100" s="3" t="s">
        <v>48</v>
      </c>
      <c r="O100" s="37">
        <v>0</v>
      </c>
      <c r="P100" s="3" t="s">
        <v>22</v>
      </c>
      <c r="Q100" s="37">
        <v>1</v>
      </c>
      <c r="R100" s="3" t="s">
        <v>20</v>
      </c>
      <c r="S100" s="8">
        <f t="shared" si="101"/>
        <v>3</v>
      </c>
      <c r="T100" s="2">
        <f t="shared" si="102"/>
        <v>0</v>
      </c>
      <c r="U100" s="2">
        <f t="shared" si="103"/>
        <v>1</v>
      </c>
      <c r="V100" s="2">
        <f t="shared" si="104"/>
        <v>0</v>
      </c>
      <c r="W100" s="2">
        <f t="shared" si="105"/>
        <v>0</v>
      </c>
      <c r="X100" s="2">
        <f t="shared" si="106"/>
        <v>1</v>
      </c>
      <c r="Y100" s="2">
        <f t="shared" si="107"/>
        <v>0</v>
      </c>
      <c r="AP100" s="62">
        <v>41668</v>
      </c>
      <c r="AQ100" s="43"/>
      <c r="AR100" s="43" t="s">
        <v>51</v>
      </c>
      <c r="AS100" s="43"/>
      <c r="AW100" s="42" t="s">
        <v>60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I100" s="7">
        <f t="shared" si="82"/>
        <v>0</v>
      </c>
      <c r="BJ100" s="18" t="str">
        <f>BJ95</f>
        <v>Vitória-PE</v>
      </c>
      <c r="BK100" s="34">
        <v>1</v>
      </c>
      <c r="BL100" s="18" t="s">
        <v>22</v>
      </c>
      <c r="BM100" s="34">
        <v>3</v>
      </c>
      <c r="BN100" s="18" t="str">
        <f>BJ94</f>
        <v>Serra Talhada</v>
      </c>
      <c r="BO100" s="7">
        <f t="shared" si="96"/>
        <v>3</v>
      </c>
      <c r="BP100" s="2">
        <f t="shared" si="109"/>
        <v>0</v>
      </c>
      <c r="BQ100" s="2">
        <f t="shared" si="84"/>
        <v>1</v>
      </c>
      <c r="BR100" s="2">
        <f t="shared" si="85"/>
        <v>0</v>
      </c>
      <c r="BS100" s="2">
        <f t="shared" si="86"/>
        <v>0</v>
      </c>
      <c r="BT100" s="2">
        <f t="shared" si="87"/>
        <v>1</v>
      </c>
      <c r="BU100" s="2">
        <f t="shared" si="88"/>
        <v>0</v>
      </c>
      <c r="CL100" s="62">
        <v>41714</v>
      </c>
      <c r="CM100" s="43"/>
      <c r="CN100" s="43" t="str">
        <f t="shared" si="115"/>
        <v>Carneirão</v>
      </c>
      <c r="CO100" s="43"/>
    </row>
    <row r="101" spans="2:93">
      <c r="M101" s="7">
        <f t="shared" si="100"/>
        <v>3</v>
      </c>
      <c r="N101" s="3" t="s">
        <v>15</v>
      </c>
      <c r="O101" s="37">
        <v>1</v>
      </c>
      <c r="P101" s="3" t="s">
        <v>22</v>
      </c>
      <c r="Q101" s="37">
        <v>0</v>
      </c>
      <c r="R101" s="3" t="s">
        <v>24</v>
      </c>
      <c r="S101" s="8">
        <f t="shared" si="101"/>
        <v>0</v>
      </c>
      <c r="T101" s="2">
        <f t="shared" si="102"/>
        <v>1</v>
      </c>
      <c r="U101" s="2">
        <f t="shared" si="103"/>
        <v>0</v>
      </c>
      <c r="V101" s="2">
        <f t="shared" si="104"/>
        <v>0</v>
      </c>
      <c r="W101" s="2">
        <f t="shared" si="105"/>
        <v>0</v>
      </c>
      <c r="X101" s="2">
        <f t="shared" si="106"/>
        <v>0</v>
      </c>
      <c r="Y101" s="2">
        <f t="shared" si="107"/>
        <v>1</v>
      </c>
      <c r="AP101" s="62">
        <v>41668</v>
      </c>
      <c r="AQ101" s="43"/>
      <c r="AR101" s="43" t="s">
        <v>52</v>
      </c>
      <c r="AS101" s="43"/>
      <c r="BI101" s="7">
        <f t="shared" si="82"/>
        <v>3</v>
      </c>
      <c r="BJ101" s="18" t="str">
        <f>BN96</f>
        <v>Pesqueira</v>
      </c>
      <c r="BK101" s="34">
        <v>2</v>
      </c>
      <c r="BL101" s="18" t="s">
        <v>22</v>
      </c>
      <c r="BM101" s="34">
        <v>0</v>
      </c>
      <c r="BN101" s="18" t="str">
        <f>BN95</f>
        <v>América-PE</v>
      </c>
      <c r="BO101" s="7">
        <f t="shared" si="96"/>
        <v>0</v>
      </c>
      <c r="BP101" s="2">
        <f t="shared" si="109"/>
        <v>1</v>
      </c>
      <c r="BQ101" s="2">
        <f t="shared" si="84"/>
        <v>0</v>
      </c>
      <c r="BR101" s="2">
        <f t="shared" si="85"/>
        <v>0</v>
      </c>
      <c r="BS101" s="2">
        <f t="shared" si="86"/>
        <v>0</v>
      </c>
      <c r="BT101" s="2">
        <f t="shared" si="87"/>
        <v>0</v>
      </c>
      <c r="BU101" s="2">
        <f t="shared" si="88"/>
        <v>1</v>
      </c>
      <c r="CL101" s="62">
        <v>41714</v>
      </c>
      <c r="CM101" s="43"/>
      <c r="CN101" s="43" t="str">
        <f t="shared" si="115"/>
        <v>Otávio Limeira</v>
      </c>
      <c r="CO101" s="43"/>
    </row>
    <row r="102" spans="2:93">
      <c r="M102" s="7">
        <f t="shared" si="100"/>
        <v>0</v>
      </c>
      <c r="N102" s="3" t="s">
        <v>18</v>
      </c>
      <c r="O102" s="37">
        <v>1</v>
      </c>
      <c r="P102" s="3" t="s">
        <v>22</v>
      </c>
      <c r="Q102" s="37">
        <v>2</v>
      </c>
      <c r="R102" s="3" t="s">
        <v>21</v>
      </c>
      <c r="S102" s="8">
        <f t="shared" si="101"/>
        <v>3</v>
      </c>
      <c r="T102" s="2">
        <f t="shared" si="102"/>
        <v>0</v>
      </c>
      <c r="U102" s="2">
        <f t="shared" si="103"/>
        <v>1</v>
      </c>
      <c r="V102" s="2">
        <f t="shared" si="104"/>
        <v>0</v>
      </c>
      <c r="W102" s="2">
        <f t="shared" si="105"/>
        <v>0</v>
      </c>
      <c r="X102" s="2">
        <f t="shared" si="106"/>
        <v>1</v>
      </c>
      <c r="Y102" s="2">
        <f t="shared" si="107"/>
        <v>0</v>
      </c>
      <c r="AP102" s="62">
        <v>41669</v>
      </c>
      <c r="AQ102" s="43"/>
      <c r="AR102" s="43" t="s">
        <v>53</v>
      </c>
      <c r="AS102" s="43"/>
      <c r="AW102" s="59" t="str">
        <f>AW73</f>
        <v>Rebaixados</v>
      </c>
      <c r="AX102" s="60"/>
      <c r="AY102" s="60"/>
      <c r="AZ102" s="60"/>
      <c r="BA102" s="60"/>
      <c r="BB102" s="78"/>
      <c r="BC102" s="41" t="str">
        <f>BC73</f>
        <v>Chã Grande</v>
      </c>
      <c r="BD102" s="41"/>
      <c r="BE102" s="43" t="str">
        <f>BE73</f>
        <v>Vitória-PE</v>
      </c>
      <c r="BF102" s="43"/>
      <c r="BI102" s="7" t="str">
        <f t="shared" si="82"/>
        <v/>
      </c>
      <c r="BO102" s="7" t="str">
        <f t="shared" si="96"/>
        <v/>
      </c>
      <c r="BP102" s="2">
        <f t="shared" si="109"/>
        <v>0</v>
      </c>
      <c r="BQ102" s="2">
        <f t="shared" si="84"/>
        <v>0</v>
      </c>
      <c r="BR102" s="2">
        <f t="shared" si="85"/>
        <v>0</v>
      </c>
      <c r="BS102" s="2">
        <f t="shared" si="86"/>
        <v>0</v>
      </c>
      <c r="BT102" s="2">
        <f t="shared" si="87"/>
        <v>0</v>
      </c>
      <c r="BU102" s="2">
        <f t="shared" si="88"/>
        <v>0</v>
      </c>
    </row>
    <row r="103" spans="2:93">
      <c r="M103" s="7" t="str">
        <f t="shared" si="100"/>
        <v/>
      </c>
      <c r="S103" s="8" t="str">
        <f t="shared" si="101"/>
        <v/>
      </c>
      <c r="T103" s="2">
        <f t="shared" si="102"/>
        <v>0</v>
      </c>
      <c r="U103" s="2">
        <f t="shared" si="103"/>
        <v>0</v>
      </c>
      <c r="V103" s="2">
        <f t="shared" si="104"/>
        <v>0</v>
      </c>
      <c r="W103" s="2">
        <f t="shared" si="105"/>
        <v>0</v>
      </c>
      <c r="X103" s="2">
        <f t="shared" si="106"/>
        <v>0</v>
      </c>
      <c r="Y103" s="2">
        <f t="shared" si="107"/>
        <v>0</v>
      </c>
      <c r="BB103" s="75"/>
      <c r="BC103" s="75"/>
      <c r="BD103" s="75"/>
      <c r="BE103" s="75"/>
      <c r="BF103" s="75"/>
      <c r="BI103" s="7" t="str">
        <f t="shared" si="82"/>
        <v/>
      </c>
      <c r="BJ103" s="80" t="s">
        <v>31</v>
      </c>
      <c r="BK103" s="57"/>
      <c r="BL103" s="57"/>
      <c r="BM103" s="57"/>
      <c r="BN103" s="58"/>
      <c r="BO103" s="7" t="str">
        <f t="shared" si="96"/>
        <v/>
      </c>
      <c r="BP103" s="2">
        <f t="shared" si="109"/>
        <v>0</v>
      </c>
      <c r="BQ103" s="2">
        <f t="shared" si="84"/>
        <v>0</v>
      </c>
      <c r="BR103" s="2">
        <f t="shared" si="85"/>
        <v>0</v>
      </c>
      <c r="BS103" s="2">
        <f t="shared" si="86"/>
        <v>0</v>
      </c>
      <c r="BT103" s="2">
        <f t="shared" si="87"/>
        <v>0</v>
      </c>
      <c r="BU103" s="2">
        <f t="shared" si="88"/>
        <v>0</v>
      </c>
    </row>
    <row r="104" spans="2:93">
      <c r="M104" s="7" t="str">
        <f t="shared" si="100"/>
        <v/>
      </c>
      <c r="N104" s="80" t="s">
        <v>39</v>
      </c>
      <c r="O104" s="57"/>
      <c r="P104" s="57"/>
      <c r="Q104" s="57"/>
      <c r="R104" s="58"/>
      <c r="S104" s="8" t="str">
        <f t="shared" si="101"/>
        <v/>
      </c>
      <c r="T104" s="2">
        <f t="shared" si="102"/>
        <v>0</v>
      </c>
      <c r="U104" s="2">
        <f t="shared" si="103"/>
        <v>0</v>
      </c>
      <c r="V104" s="2">
        <f t="shared" si="104"/>
        <v>0</v>
      </c>
      <c r="W104" s="2">
        <f t="shared" si="105"/>
        <v>0</v>
      </c>
      <c r="X104" s="2">
        <f t="shared" si="106"/>
        <v>0</v>
      </c>
      <c r="Y104" s="2">
        <f t="shared" si="107"/>
        <v>0</v>
      </c>
      <c r="AW104" s="73" t="s">
        <v>61</v>
      </c>
      <c r="AX104" s="73"/>
      <c r="AY104" s="73"/>
      <c r="AZ104" s="43">
        <f>AZ75</f>
        <v>6</v>
      </c>
      <c r="BA104" s="43"/>
      <c r="BI104" s="7">
        <f t="shared" si="82"/>
        <v>3</v>
      </c>
      <c r="BJ104" s="18" t="str">
        <f>BN101</f>
        <v>América-PE</v>
      </c>
      <c r="BK104" s="34">
        <v>3</v>
      </c>
      <c r="BL104" s="18" t="s">
        <v>22</v>
      </c>
      <c r="BM104" s="34">
        <v>2</v>
      </c>
      <c r="BN104" s="18" t="str">
        <f>BN100</f>
        <v>Serra Talhada</v>
      </c>
      <c r="BO104" s="7">
        <f t="shared" si="96"/>
        <v>0</v>
      </c>
      <c r="BP104" s="2">
        <f t="shared" si="109"/>
        <v>1</v>
      </c>
      <c r="BQ104" s="2">
        <f t="shared" si="84"/>
        <v>0</v>
      </c>
      <c r="BR104" s="2">
        <f t="shared" si="85"/>
        <v>0</v>
      </c>
      <c r="BS104" s="2">
        <f t="shared" si="86"/>
        <v>0</v>
      </c>
      <c r="BT104" s="2">
        <f t="shared" si="87"/>
        <v>0</v>
      </c>
      <c r="BU104" s="2">
        <f t="shared" si="88"/>
        <v>1</v>
      </c>
      <c r="CL104" s="62">
        <v>41717</v>
      </c>
      <c r="CM104" s="43"/>
      <c r="CN104" s="43" t="str">
        <f t="shared" ref="CN104:CN106" si="116">IF(BJ104="Central","Lacerdão",IF(BJ104="Porto","Lacerdão",IF(BJ104="Salgueiro","Cornélio de Barros",IF(BJ104="Vitória-PE","Carneirão",IF(BJ104="Serra Talhada","Nildo Pereira",IF(BJ104="Ypiranga","Otávio Limeira",IF(BJ104="América-PE","Ademir Cunha",IF(BJ104="Chã Grande","Carneirão",IF(BJ104="Pesqueira","Otávio Limeira","Estadio Indefinido")))))))))</f>
        <v>Ademir Cunha</v>
      </c>
      <c r="CO104" s="43"/>
    </row>
    <row r="105" spans="2:93">
      <c r="M105" s="7">
        <f t="shared" si="100"/>
        <v>3</v>
      </c>
      <c r="N105" s="3" t="s">
        <v>14</v>
      </c>
      <c r="O105" s="37">
        <v>2</v>
      </c>
      <c r="P105" s="3" t="s">
        <v>22</v>
      </c>
      <c r="Q105" s="37">
        <v>1</v>
      </c>
      <c r="R105" s="3" t="s">
        <v>19</v>
      </c>
      <c r="S105" s="8">
        <f t="shared" si="101"/>
        <v>0</v>
      </c>
      <c r="T105" s="2">
        <f t="shared" si="102"/>
        <v>1</v>
      </c>
      <c r="U105" s="2">
        <f t="shared" si="103"/>
        <v>0</v>
      </c>
      <c r="V105" s="2">
        <f t="shared" si="104"/>
        <v>0</v>
      </c>
      <c r="W105" s="2">
        <f t="shared" si="105"/>
        <v>0</v>
      </c>
      <c r="X105" s="2">
        <f t="shared" si="106"/>
        <v>0</v>
      </c>
      <c r="Y105" s="2">
        <f t="shared" si="107"/>
        <v>1</v>
      </c>
      <c r="AP105" s="62">
        <v>41671</v>
      </c>
      <c r="AQ105" s="43"/>
      <c r="AR105" s="43" t="s">
        <v>51</v>
      </c>
      <c r="AS105" s="43"/>
      <c r="AW105" s="73" t="s">
        <v>62</v>
      </c>
      <c r="AX105" s="73"/>
      <c r="AY105" s="73"/>
      <c r="AZ105" s="43">
        <f t="shared" ref="AZ105:AZ108" si="117">AZ76</f>
        <v>5</v>
      </c>
      <c r="BA105" s="43"/>
      <c r="BI105" s="7">
        <f t="shared" si="82"/>
        <v>3</v>
      </c>
      <c r="BJ105" s="18" t="str">
        <f>BN99</f>
        <v>Ypiranga</v>
      </c>
      <c r="BK105" s="34">
        <v>2</v>
      </c>
      <c r="BL105" s="18" t="s">
        <v>22</v>
      </c>
      <c r="BM105" s="34">
        <v>0</v>
      </c>
      <c r="BN105" s="18" t="str">
        <f>BJ100</f>
        <v>Vitória-PE</v>
      </c>
      <c r="BO105" s="7">
        <f t="shared" si="96"/>
        <v>0</v>
      </c>
      <c r="BP105" s="2">
        <f t="shared" si="109"/>
        <v>1</v>
      </c>
      <c r="BQ105" s="2">
        <f t="shared" si="84"/>
        <v>0</v>
      </c>
      <c r="BR105" s="2">
        <f t="shared" si="85"/>
        <v>0</v>
      </c>
      <c r="BS105" s="2">
        <f t="shared" si="86"/>
        <v>0</v>
      </c>
      <c r="BT105" s="2">
        <f t="shared" si="87"/>
        <v>0</v>
      </c>
      <c r="BU105" s="2">
        <f t="shared" si="88"/>
        <v>1</v>
      </c>
      <c r="CL105" s="62">
        <v>41717</v>
      </c>
      <c r="CM105" s="43"/>
      <c r="CN105" s="43" t="str">
        <f t="shared" si="116"/>
        <v>Otávio Limeira</v>
      </c>
      <c r="CO105" s="43"/>
    </row>
    <row r="106" spans="2:93">
      <c r="M106" s="7">
        <f t="shared" si="100"/>
        <v>0</v>
      </c>
      <c r="N106" s="3" t="s">
        <v>20</v>
      </c>
      <c r="O106" s="37">
        <v>0</v>
      </c>
      <c r="P106" s="3" t="s">
        <v>22</v>
      </c>
      <c r="Q106" s="37">
        <v>1</v>
      </c>
      <c r="R106" s="3" t="s">
        <v>18</v>
      </c>
      <c r="S106" s="8">
        <f t="shared" si="101"/>
        <v>3</v>
      </c>
      <c r="T106" s="2">
        <f t="shared" si="102"/>
        <v>0</v>
      </c>
      <c r="U106" s="2">
        <f t="shared" si="103"/>
        <v>1</v>
      </c>
      <c r="V106" s="2">
        <f t="shared" si="104"/>
        <v>0</v>
      </c>
      <c r="W106" s="2">
        <f t="shared" si="105"/>
        <v>0</v>
      </c>
      <c r="X106" s="2">
        <f t="shared" si="106"/>
        <v>1</v>
      </c>
      <c r="Y106" s="2">
        <f t="shared" si="107"/>
        <v>0</v>
      </c>
      <c r="AP106" s="62">
        <v>41672</v>
      </c>
      <c r="AQ106" s="43"/>
      <c r="AR106" s="43" t="s">
        <v>54</v>
      </c>
      <c r="AS106" s="43"/>
      <c r="AW106" s="73" t="s">
        <v>63</v>
      </c>
      <c r="AX106" s="73"/>
      <c r="AY106" s="73"/>
      <c r="AZ106" s="43">
        <f t="shared" si="117"/>
        <v>8</v>
      </c>
      <c r="BA106" s="43"/>
      <c r="BI106" s="7">
        <f t="shared" si="82"/>
        <v>3</v>
      </c>
      <c r="BJ106" s="18" t="str">
        <f>BJ101</f>
        <v>Pesqueira</v>
      </c>
      <c r="BK106" s="34">
        <v>1</v>
      </c>
      <c r="BL106" s="18" t="s">
        <v>22</v>
      </c>
      <c r="BM106" s="34">
        <v>0</v>
      </c>
      <c r="BN106" s="18" t="str">
        <f>BJ99</f>
        <v>Chã Grande</v>
      </c>
      <c r="BO106" s="7">
        <f t="shared" si="96"/>
        <v>0</v>
      </c>
      <c r="BP106" s="2">
        <f t="shared" si="109"/>
        <v>1</v>
      </c>
      <c r="BQ106" s="2">
        <f t="shared" si="84"/>
        <v>0</v>
      </c>
      <c r="BR106" s="2">
        <f t="shared" si="85"/>
        <v>0</v>
      </c>
      <c r="BS106" s="2">
        <f t="shared" si="86"/>
        <v>0</v>
      </c>
      <c r="BT106" s="2">
        <f t="shared" si="87"/>
        <v>0</v>
      </c>
      <c r="BU106" s="2">
        <f t="shared" si="88"/>
        <v>1</v>
      </c>
      <c r="CL106" s="62">
        <v>41717</v>
      </c>
      <c r="CM106" s="43"/>
      <c r="CN106" s="43" t="str">
        <f t="shared" si="116"/>
        <v>Otávio Limeira</v>
      </c>
      <c r="CO106" s="43"/>
    </row>
    <row r="107" spans="2:93">
      <c r="M107" s="7">
        <f t="shared" si="100"/>
        <v>1</v>
      </c>
      <c r="N107" s="3" t="s">
        <v>21</v>
      </c>
      <c r="O107" s="37">
        <v>0</v>
      </c>
      <c r="P107" s="3" t="s">
        <v>22</v>
      </c>
      <c r="Q107" s="37">
        <v>0</v>
      </c>
      <c r="R107" s="3" t="s">
        <v>15</v>
      </c>
      <c r="S107" s="8">
        <f t="shared" si="101"/>
        <v>1</v>
      </c>
      <c r="T107" s="2">
        <f t="shared" si="102"/>
        <v>0</v>
      </c>
      <c r="U107" s="2">
        <f t="shared" si="103"/>
        <v>0</v>
      </c>
      <c r="V107" s="2">
        <f t="shared" si="104"/>
        <v>1</v>
      </c>
      <c r="W107" s="2">
        <f t="shared" si="105"/>
        <v>1</v>
      </c>
      <c r="X107" s="2">
        <f t="shared" si="106"/>
        <v>0</v>
      </c>
      <c r="Y107" s="2">
        <f t="shared" si="107"/>
        <v>0</v>
      </c>
      <c r="AP107" s="62">
        <v>41672</v>
      </c>
      <c r="AQ107" s="43"/>
      <c r="AR107" s="43" t="s">
        <v>56</v>
      </c>
      <c r="AS107" s="43"/>
      <c r="AW107" s="73" t="s">
        <v>64</v>
      </c>
      <c r="AX107" s="73"/>
      <c r="AY107" s="73"/>
      <c r="AZ107" s="43">
        <f t="shared" si="117"/>
        <v>12</v>
      </c>
      <c r="BA107" s="43"/>
      <c r="BI107" s="7" t="str">
        <f t="shared" si="82"/>
        <v/>
      </c>
      <c r="BO107" s="7" t="str">
        <f t="shared" si="96"/>
        <v/>
      </c>
      <c r="BP107" s="2">
        <f t="shared" si="109"/>
        <v>0</v>
      </c>
      <c r="BQ107" s="2">
        <f t="shared" si="84"/>
        <v>0</v>
      </c>
      <c r="BR107" s="2">
        <f t="shared" si="85"/>
        <v>0</v>
      </c>
      <c r="BS107" s="2">
        <f t="shared" si="86"/>
        <v>0</v>
      </c>
      <c r="BT107" s="2">
        <f t="shared" si="87"/>
        <v>0</v>
      </c>
      <c r="BU107" s="2">
        <f t="shared" si="88"/>
        <v>0</v>
      </c>
    </row>
    <row r="108" spans="2:93">
      <c r="M108" s="7">
        <f t="shared" si="100"/>
        <v>0</v>
      </c>
      <c r="N108" s="3" t="s">
        <v>24</v>
      </c>
      <c r="O108" s="37">
        <v>0</v>
      </c>
      <c r="P108" s="3" t="s">
        <v>22</v>
      </c>
      <c r="Q108" s="37">
        <v>1</v>
      </c>
      <c r="R108" s="3" t="s">
        <v>48</v>
      </c>
      <c r="S108" s="8">
        <f t="shared" si="101"/>
        <v>3</v>
      </c>
      <c r="T108" s="2">
        <f t="shared" si="102"/>
        <v>0</v>
      </c>
      <c r="U108" s="2">
        <f t="shared" si="103"/>
        <v>1</v>
      </c>
      <c r="V108" s="2">
        <f t="shared" si="104"/>
        <v>0</v>
      </c>
      <c r="W108" s="2">
        <f t="shared" si="105"/>
        <v>0</v>
      </c>
      <c r="X108" s="2">
        <f t="shared" si="106"/>
        <v>1</v>
      </c>
      <c r="Y108" s="2">
        <f t="shared" si="107"/>
        <v>0</v>
      </c>
      <c r="AP108" s="62">
        <v>41672</v>
      </c>
      <c r="AQ108" s="43"/>
      <c r="AR108" s="43" t="s">
        <v>57</v>
      </c>
      <c r="AS108" s="43"/>
      <c r="AW108" s="73" t="s">
        <v>65</v>
      </c>
      <c r="AX108" s="73"/>
      <c r="AY108" s="73"/>
      <c r="AZ108" s="43">
        <f t="shared" si="117"/>
        <v>59</v>
      </c>
      <c r="BA108" s="43"/>
      <c r="BI108" s="7" t="str">
        <f t="shared" si="82"/>
        <v/>
      </c>
      <c r="BJ108" s="80" t="s">
        <v>32</v>
      </c>
      <c r="BK108" s="57"/>
      <c r="BL108" s="57"/>
      <c r="BM108" s="57"/>
      <c r="BN108" s="58"/>
      <c r="BO108" s="7" t="str">
        <f t="shared" si="96"/>
        <v/>
      </c>
      <c r="BP108" s="2">
        <f t="shared" si="109"/>
        <v>0</v>
      </c>
      <c r="BQ108" s="2">
        <f t="shared" si="84"/>
        <v>0</v>
      </c>
      <c r="BR108" s="2">
        <f t="shared" si="85"/>
        <v>0</v>
      </c>
      <c r="BS108" s="2">
        <f t="shared" si="86"/>
        <v>0</v>
      </c>
      <c r="BT108" s="2">
        <f t="shared" si="87"/>
        <v>0</v>
      </c>
      <c r="BU108" s="2">
        <f t="shared" si="88"/>
        <v>0</v>
      </c>
    </row>
    <row r="109" spans="2:93">
      <c r="M109" s="7" t="str">
        <f t="shared" si="100"/>
        <v/>
      </c>
      <c r="S109" s="8" t="str">
        <f t="shared" si="101"/>
        <v/>
      </c>
      <c r="T109" s="2">
        <f t="shared" si="102"/>
        <v>0</v>
      </c>
      <c r="U109" s="2">
        <f t="shared" si="103"/>
        <v>0</v>
      </c>
      <c r="V109" s="2">
        <f t="shared" si="104"/>
        <v>0</v>
      </c>
      <c r="W109" s="2">
        <f t="shared" si="105"/>
        <v>0</v>
      </c>
      <c r="X109" s="2">
        <f t="shared" si="106"/>
        <v>0</v>
      </c>
      <c r="Y109" s="2">
        <f t="shared" si="107"/>
        <v>0</v>
      </c>
      <c r="AW109" s="73" t="str">
        <f>AW80</f>
        <v>Total de Jogos</v>
      </c>
      <c r="AX109" s="73"/>
      <c r="AY109" s="73"/>
      <c r="AZ109" s="74">
        <f>AZ80</f>
        <v>60</v>
      </c>
      <c r="BA109" s="74"/>
      <c r="BI109" s="7">
        <f t="shared" si="82"/>
        <v>0</v>
      </c>
      <c r="BJ109" s="18" t="str">
        <f>BN105</f>
        <v>Vitória-PE</v>
      </c>
      <c r="BK109" s="34">
        <v>1</v>
      </c>
      <c r="BL109" s="18" t="s">
        <v>22</v>
      </c>
      <c r="BM109" s="34">
        <v>3</v>
      </c>
      <c r="BN109" s="18" t="str">
        <f>BJ106</f>
        <v>Pesqueira</v>
      </c>
      <c r="BO109" s="7">
        <f t="shared" si="96"/>
        <v>3</v>
      </c>
      <c r="BP109" s="2">
        <f t="shared" si="109"/>
        <v>0</v>
      </c>
      <c r="BQ109" s="2">
        <f t="shared" si="84"/>
        <v>1</v>
      </c>
      <c r="BR109" s="2">
        <f t="shared" si="85"/>
        <v>0</v>
      </c>
      <c r="BS109" s="2">
        <f t="shared" si="86"/>
        <v>0</v>
      </c>
      <c r="BT109" s="2">
        <f t="shared" si="87"/>
        <v>1</v>
      </c>
      <c r="BU109" s="2">
        <f t="shared" si="88"/>
        <v>0</v>
      </c>
      <c r="CL109" s="62">
        <v>41720</v>
      </c>
      <c r="CM109" s="43"/>
      <c r="CN109" s="43" t="str">
        <f t="shared" ref="CN109:CN111" si="118">IF(BJ109="Central","Lacerdão",IF(BJ109="Porto","Lacerdão",IF(BJ109="Salgueiro","Cornélio de Barros",IF(BJ109="Vitória-PE","Carneirão",IF(BJ109="Serra Talhada","Nildo Pereira",IF(BJ109="Ypiranga","Otávio Limeira",IF(BJ109="América-PE","Ademir Cunha",IF(BJ109="Chã Grande","Carneirão",IF(BJ109="Pesqueira","Otávio Limeira","Estadio Indefinido")))))))))</f>
        <v>Carneirão</v>
      </c>
      <c r="CO109" s="43"/>
    </row>
    <row r="110" spans="2:93">
      <c r="B110" s="42" t="s">
        <v>60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7" t="str">
        <f t="shared" si="100"/>
        <v/>
      </c>
      <c r="N110" s="80" t="s">
        <v>40</v>
      </c>
      <c r="O110" s="57"/>
      <c r="P110" s="57"/>
      <c r="Q110" s="57"/>
      <c r="R110" s="58"/>
      <c r="S110" s="8" t="str">
        <f t="shared" si="101"/>
        <v/>
      </c>
      <c r="T110" s="2">
        <f t="shared" si="102"/>
        <v>0</v>
      </c>
      <c r="U110" s="2">
        <f t="shared" si="103"/>
        <v>0</v>
      </c>
      <c r="V110" s="2">
        <f t="shared" si="104"/>
        <v>0</v>
      </c>
      <c r="W110" s="2">
        <f t="shared" si="105"/>
        <v>0</v>
      </c>
      <c r="X110" s="2">
        <f t="shared" si="106"/>
        <v>0</v>
      </c>
      <c r="Y110" s="2">
        <f t="shared" si="107"/>
        <v>0</v>
      </c>
      <c r="BI110" s="7">
        <f t="shared" si="82"/>
        <v>3</v>
      </c>
      <c r="BJ110" s="18" t="str">
        <f>BN104</f>
        <v>Serra Talhada</v>
      </c>
      <c r="BK110" s="34">
        <v>1</v>
      </c>
      <c r="BL110" s="18" t="s">
        <v>22</v>
      </c>
      <c r="BM110" s="34">
        <v>0</v>
      </c>
      <c r="BN110" s="18" t="str">
        <f>BJ105</f>
        <v>Ypiranga</v>
      </c>
      <c r="BO110" s="7">
        <f t="shared" si="96"/>
        <v>0</v>
      </c>
      <c r="BP110" s="2">
        <f t="shared" si="109"/>
        <v>1</v>
      </c>
      <c r="BQ110" s="2">
        <f t="shared" si="84"/>
        <v>0</v>
      </c>
      <c r="BR110" s="2">
        <f t="shared" si="85"/>
        <v>0</v>
      </c>
      <c r="BS110" s="2">
        <f t="shared" si="86"/>
        <v>0</v>
      </c>
      <c r="BT110" s="2">
        <f t="shared" si="87"/>
        <v>0</v>
      </c>
      <c r="BU110" s="2">
        <f t="shared" si="88"/>
        <v>1</v>
      </c>
      <c r="CL110" s="62">
        <v>41721</v>
      </c>
      <c r="CM110" s="43"/>
      <c r="CN110" s="43" t="str">
        <f t="shared" si="118"/>
        <v>Nildo Pereira</v>
      </c>
      <c r="CO110" s="43"/>
    </row>
    <row r="111" spans="2:93">
      <c r="M111" s="7">
        <f t="shared" si="100"/>
        <v>1</v>
      </c>
      <c r="N111" s="3" t="s">
        <v>18</v>
      </c>
      <c r="O111" s="37">
        <v>0</v>
      </c>
      <c r="P111" s="3" t="s">
        <v>22</v>
      </c>
      <c r="Q111" s="37">
        <v>0</v>
      </c>
      <c r="R111" s="3" t="s">
        <v>24</v>
      </c>
      <c r="S111" s="8">
        <f t="shared" si="101"/>
        <v>1</v>
      </c>
      <c r="T111" s="2">
        <f t="shared" si="102"/>
        <v>0</v>
      </c>
      <c r="U111" s="2">
        <f t="shared" si="103"/>
        <v>0</v>
      </c>
      <c r="V111" s="2">
        <f t="shared" si="104"/>
        <v>1</v>
      </c>
      <c r="W111" s="2">
        <f t="shared" si="105"/>
        <v>1</v>
      </c>
      <c r="X111" s="2">
        <f t="shared" si="106"/>
        <v>0</v>
      </c>
      <c r="Y111" s="2">
        <f t="shared" si="107"/>
        <v>0</v>
      </c>
      <c r="AP111" s="62">
        <v>41675</v>
      </c>
      <c r="AQ111" s="43"/>
      <c r="AR111" s="43" t="s">
        <v>53</v>
      </c>
      <c r="AS111" s="43"/>
      <c r="BI111" s="7">
        <f t="shared" si="82"/>
        <v>3</v>
      </c>
      <c r="BJ111" s="18" t="str">
        <f>BN106</f>
        <v>Chã Grande</v>
      </c>
      <c r="BK111" s="34">
        <v>1</v>
      </c>
      <c r="BL111" s="18" t="s">
        <v>22</v>
      </c>
      <c r="BM111" s="34">
        <v>0</v>
      </c>
      <c r="BN111" s="18" t="str">
        <f>BJ104</f>
        <v>América-PE</v>
      </c>
      <c r="BO111" s="7">
        <f t="shared" si="96"/>
        <v>0</v>
      </c>
      <c r="BP111" s="2">
        <f t="shared" si="109"/>
        <v>1</v>
      </c>
      <c r="BQ111" s="2">
        <f t="shared" si="84"/>
        <v>0</v>
      </c>
      <c r="BR111" s="2">
        <f t="shared" si="85"/>
        <v>0</v>
      </c>
      <c r="BS111" s="2">
        <f t="shared" si="86"/>
        <v>0</v>
      </c>
      <c r="BT111" s="2">
        <f t="shared" si="87"/>
        <v>0</v>
      </c>
      <c r="BU111" s="2">
        <f t="shared" si="88"/>
        <v>1</v>
      </c>
      <c r="CL111" s="62">
        <v>41721</v>
      </c>
      <c r="CM111" s="43"/>
      <c r="CN111" s="43" t="str">
        <f t="shared" si="118"/>
        <v>Carneirão</v>
      </c>
      <c r="CO111" s="43"/>
    </row>
    <row r="112" spans="2:93">
      <c r="B112" s="73" t="str">
        <f>B88</f>
        <v>Classificados</v>
      </c>
      <c r="C112" s="73"/>
      <c r="D112" s="73"/>
      <c r="E112" s="44" t="str">
        <f>E88</f>
        <v>Salgueiro</v>
      </c>
      <c r="F112" s="45"/>
      <c r="G112" s="44" t="str">
        <f>G88</f>
        <v>Central</v>
      </c>
      <c r="H112" s="45"/>
      <c r="I112" s="44" t="str">
        <f>I88</f>
        <v>Porto</v>
      </c>
      <c r="J112" s="41"/>
      <c r="K112" s="45"/>
      <c r="M112" s="7">
        <f t="shared" si="100"/>
        <v>3</v>
      </c>
      <c r="N112" s="3" t="s">
        <v>15</v>
      </c>
      <c r="O112" s="37">
        <v>3</v>
      </c>
      <c r="P112" s="3" t="s">
        <v>22</v>
      </c>
      <c r="Q112" s="37">
        <v>0</v>
      </c>
      <c r="R112" s="3" t="s">
        <v>20</v>
      </c>
      <c r="S112" s="8">
        <f t="shared" si="101"/>
        <v>0</v>
      </c>
      <c r="T112" s="2">
        <f t="shared" si="102"/>
        <v>1</v>
      </c>
      <c r="U112" s="2">
        <f t="shared" si="103"/>
        <v>0</v>
      </c>
      <c r="V112" s="2">
        <f t="shared" si="104"/>
        <v>0</v>
      </c>
      <c r="W112" s="2">
        <f t="shared" si="105"/>
        <v>0</v>
      </c>
      <c r="X112" s="2">
        <f t="shared" si="106"/>
        <v>0</v>
      </c>
      <c r="Y112" s="2">
        <f t="shared" si="107"/>
        <v>1</v>
      </c>
      <c r="AP112" s="62">
        <v>41675</v>
      </c>
      <c r="AQ112" s="43"/>
      <c r="AR112" s="43" t="s">
        <v>52</v>
      </c>
      <c r="AS112" s="43"/>
    </row>
    <row r="113" spans="2:45">
      <c r="G113" s="75"/>
      <c r="H113" s="75"/>
      <c r="I113" s="75"/>
      <c r="J113" s="75"/>
      <c r="K113" s="75"/>
      <c r="M113" s="7">
        <f t="shared" si="100"/>
        <v>1</v>
      </c>
      <c r="N113" s="3" t="s">
        <v>48</v>
      </c>
      <c r="O113" s="37">
        <v>1</v>
      </c>
      <c r="P113" s="3" t="s">
        <v>22</v>
      </c>
      <c r="Q113" s="37">
        <v>1</v>
      </c>
      <c r="R113" s="3" t="s">
        <v>21</v>
      </c>
      <c r="S113" s="8">
        <f t="shared" si="101"/>
        <v>1</v>
      </c>
      <c r="T113" s="2">
        <f t="shared" si="102"/>
        <v>0</v>
      </c>
      <c r="U113" s="2">
        <f t="shared" si="103"/>
        <v>0</v>
      </c>
      <c r="V113" s="2">
        <f t="shared" si="104"/>
        <v>1</v>
      </c>
      <c r="W113" s="2">
        <f t="shared" si="105"/>
        <v>1</v>
      </c>
      <c r="X113" s="2">
        <f t="shared" si="106"/>
        <v>0</v>
      </c>
      <c r="Y113" s="2">
        <f t="shared" si="107"/>
        <v>0</v>
      </c>
      <c r="AP113" s="62">
        <v>41675</v>
      </c>
      <c r="AQ113" s="43"/>
      <c r="AR113" s="43" t="s">
        <v>51</v>
      </c>
      <c r="AS113" s="43"/>
    </row>
    <row r="114" spans="2:45">
      <c r="B114" s="73" t="s">
        <v>61</v>
      </c>
      <c r="C114" s="73"/>
      <c r="D114" s="73"/>
      <c r="E114" s="43">
        <f>E90</f>
        <v>11</v>
      </c>
      <c r="F114" s="43"/>
      <c r="M114" s="7">
        <f t="shared" si="100"/>
        <v>0</v>
      </c>
      <c r="N114" s="3" t="s">
        <v>16</v>
      </c>
      <c r="O114" s="37">
        <v>0</v>
      </c>
      <c r="P114" s="3" t="s">
        <v>22</v>
      </c>
      <c r="Q114" s="37">
        <v>5</v>
      </c>
      <c r="R114" s="3" t="s">
        <v>14</v>
      </c>
      <c r="S114" s="8">
        <f t="shared" si="101"/>
        <v>3</v>
      </c>
      <c r="T114" s="2">
        <f>IF(M114=3,1,0)</f>
        <v>0</v>
      </c>
      <c r="U114" s="2">
        <f t="shared" si="103"/>
        <v>1</v>
      </c>
      <c r="V114" s="2">
        <f t="shared" si="104"/>
        <v>0</v>
      </c>
      <c r="W114" s="2">
        <f t="shared" si="105"/>
        <v>0</v>
      </c>
      <c r="X114" s="2">
        <f t="shared" si="106"/>
        <v>1</v>
      </c>
      <c r="Y114" s="2">
        <f t="shared" si="107"/>
        <v>0</v>
      </c>
      <c r="AP114" s="62">
        <v>41675</v>
      </c>
      <c r="AQ114" s="43"/>
      <c r="AR114" s="43" t="s">
        <v>55</v>
      </c>
      <c r="AS114" s="43"/>
    </row>
    <row r="115" spans="2:45">
      <c r="B115" s="73" t="s">
        <v>62</v>
      </c>
      <c r="C115" s="73"/>
      <c r="D115" s="73"/>
      <c r="E115" s="43">
        <f>E91</f>
        <v>7</v>
      </c>
      <c r="F115" s="43"/>
    </row>
    <row r="116" spans="2:45">
      <c r="B116" s="73" t="s">
        <v>63</v>
      </c>
      <c r="C116" s="73"/>
      <c r="D116" s="73"/>
      <c r="E116" s="43">
        <f t="shared" ref="E116:E118" si="119">E92</f>
        <v>10</v>
      </c>
      <c r="F116" s="43"/>
    </row>
    <row r="117" spans="2:45">
      <c r="B117" s="73" t="s">
        <v>64</v>
      </c>
      <c r="C117" s="73"/>
      <c r="D117" s="73"/>
      <c r="E117" s="43">
        <f t="shared" si="119"/>
        <v>29</v>
      </c>
      <c r="F117" s="43"/>
    </row>
    <row r="118" spans="2:45">
      <c r="B118" s="73" t="s">
        <v>65</v>
      </c>
      <c r="C118" s="73"/>
      <c r="D118" s="73"/>
      <c r="E118" s="43">
        <f t="shared" si="119"/>
        <v>152</v>
      </c>
      <c r="F118" s="43"/>
    </row>
    <row r="119" spans="2:45">
      <c r="B119" s="73" t="str">
        <f>B95</f>
        <v>total de jogos</v>
      </c>
      <c r="C119" s="73"/>
      <c r="D119" s="73"/>
      <c r="E119" s="56">
        <f>E95</f>
        <v>144</v>
      </c>
      <c r="F119" s="56"/>
    </row>
  </sheetData>
  <sheetProtection password="8417" sheet="1" objects="1" scenarios="1" selectLockedCells="1"/>
  <mergeCells count="558">
    <mergeCell ref="BJ63:BN63"/>
    <mergeCell ref="CL63:CM63"/>
    <mergeCell ref="CN63:CO63"/>
    <mergeCell ref="CL64:CM64"/>
    <mergeCell ref="CN64:CO64"/>
    <mergeCell ref="CL65:CM65"/>
    <mergeCell ref="DA16:DB16"/>
    <mergeCell ref="CV16:CW16"/>
    <mergeCell ref="CL110:CM110"/>
    <mergeCell ref="CN110:CO110"/>
    <mergeCell ref="CN65:CO65"/>
    <mergeCell ref="CL66:CM66"/>
    <mergeCell ref="CN66:CO66"/>
    <mergeCell ref="CN106:CO106"/>
    <mergeCell ref="CL95:CM95"/>
    <mergeCell ref="CN95:CO95"/>
    <mergeCell ref="CL96:CM96"/>
    <mergeCell ref="CN96:CO96"/>
    <mergeCell ref="BJ68:BN68"/>
    <mergeCell ref="CL90:CM90"/>
    <mergeCell ref="CN90:CO90"/>
    <mergeCell ref="CL91:CM91"/>
    <mergeCell ref="CN91:CO91"/>
    <mergeCell ref="BJ93:BN93"/>
    <mergeCell ref="CL111:CM111"/>
    <mergeCell ref="CN111:CO111"/>
    <mergeCell ref="BC102:BD102"/>
    <mergeCell ref="BE102:BF102"/>
    <mergeCell ref="BB103:BC103"/>
    <mergeCell ref="BD103:BF103"/>
    <mergeCell ref="BJ103:BN103"/>
    <mergeCell ref="CL104:CM104"/>
    <mergeCell ref="CN104:CO104"/>
    <mergeCell ref="BJ108:BN108"/>
    <mergeCell ref="AW102:BB102"/>
    <mergeCell ref="AW109:AY109"/>
    <mergeCell ref="AZ109:BA109"/>
    <mergeCell ref="CL109:CM109"/>
    <mergeCell ref="CN109:CO109"/>
    <mergeCell ref="AW104:AY104"/>
    <mergeCell ref="AZ104:BA104"/>
    <mergeCell ref="AW107:AY107"/>
    <mergeCell ref="AZ107:BA107"/>
    <mergeCell ref="AW108:AY108"/>
    <mergeCell ref="AZ108:BA108"/>
    <mergeCell ref="AW106:AY106"/>
    <mergeCell ref="AZ106:BA106"/>
    <mergeCell ref="CL106:CM106"/>
    <mergeCell ref="AW105:AY105"/>
    <mergeCell ref="AZ105:BA105"/>
    <mergeCell ref="CL105:CM105"/>
    <mergeCell ref="CN105:CO105"/>
    <mergeCell ref="BJ98:BN98"/>
    <mergeCell ref="CL99:CM99"/>
    <mergeCell ref="CN99:CO99"/>
    <mergeCell ref="AW100:BG100"/>
    <mergeCell ref="CL100:CM100"/>
    <mergeCell ref="CN100:CO100"/>
    <mergeCell ref="CL101:CM101"/>
    <mergeCell ref="CN101:CO101"/>
    <mergeCell ref="AX69:AY69"/>
    <mergeCell ref="AZ69:BB69"/>
    <mergeCell ref="BC69:BF69"/>
    <mergeCell ref="CL69:CM69"/>
    <mergeCell ref="CN69:CO69"/>
    <mergeCell ref="CL70:CM70"/>
    <mergeCell ref="BJ88:BN88"/>
    <mergeCell ref="CL89:CM89"/>
    <mergeCell ref="CN89:CO89"/>
    <mergeCell ref="AW78:AY78"/>
    <mergeCell ref="AZ78:BA78"/>
    <mergeCell ref="BJ78:BN78"/>
    <mergeCell ref="AW79:AY79"/>
    <mergeCell ref="AZ79:BA79"/>
    <mergeCell ref="CL79:CM79"/>
    <mergeCell ref="CN79:CO79"/>
    <mergeCell ref="AW80:AY80"/>
    <mergeCell ref="AZ80:BA80"/>
    <mergeCell ref="CL80:CM80"/>
    <mergeCell ref="CN80:CO80"/>
    <mergeCell ref="AW75:AY75"/>
    <mergeCell ref="AZ75:BA75"/>
    <mergeCell ref="CL75:CM75"/>
    <mergeCell ref="CN75:CO75"/>
    <mergeCell ref="CL94:CM94"/>
    <mergeCell ref="CN94:CO94"/>
    <mergeCell ref="CL81:CM81"/>
    <mergeCell ref="CN81:CO81"/>
    <mergeCell ref="BJ83:BN83"/>
    <mergeCell ref="CL84:CM84"/>
    <mergeCell ref="CN84:CO84"/>
    <mergeCell ref="CL85:CM85"/>
    <mergeCell ref="CN85:CO85"/>
    <mergeCell ref="CL86:CM86"/>
    <mergeCell ref="CN86:CO86"/>
    <mergeCell ref="AW76:AY76"/>
    <mergeCell ref="AZ76:BA76"/>
    <mergeCell ref="CL76:CM76"/>
    <mergeCell ref="CN76:CO76"/>
    <mergeCell ref="AW77:AY77"/>
    <mergeCell ref="AZ77:BA77"/>
    <mergeCell ref="CN70:CO70"/>
    <mergeCell ref="CL71:CM71"/>
    <mergeCell ref="CN71:CO71"/>
    <mergeCell ref="BC73:BD73"/>
    <mergeCell ref="BE73:BF73"/>
    <mergeCell ref="BJ73:BN73"/>
    <mergeCell ref="AW73:BB73"/>
    <mergeCell ref="BA74:BB74"/>
    <mergeCell ref="BC74:BE74"/>
    <mergeCell ref="CL74:CM74"/>
    <mergeCell ref="CN74:CO74"/>
    <mergeCell ref="AW71:BG71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9:D119"/>
    <mergeCell ref="E119:F119"/>
    <mergeCell ref="B110:L110"/>
    <mergeCell ref="B112:D112"/>
    <mergeCell ref="E112:F112"/>
    <mergeCell ref="G112:H112"/>
    <mergeCell ref="I112:K112"/>
    <mergeCell ref="G113:H113"/>
    <mergeCell ref="I113:K113"/>
    <mergeCell ref="B114:D114"/>
    <mergeCell ref="E114:F114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86:L86"/>
    <mergeCell ref="B88:D88"/>
    <mergeCell ref="E88:F88"/>
    <mergeCell ref="G88:H88"/>
    <mergeCell ref="I88:K88"/>
    <mergeCell ref="G89:H89"/>
    <mergeCell ref="I89:K89"/>
    <mergeCell ref="B90:D90"/>
    <mergeCell ref="E90:F90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62:L62"/>
    <mergeCell ref="B64:D64"/>
    <mergeCell ref="E64:F64"/>
    <mergeCell ref="G64:H64"/>
    <mergeCell ref="I64:K64"/>
    <mergeCell ref="G65:H65"/>
    <mergeCell ref="I65:K65"/>
    <mergeCell ref="B66:D66"/>
    <mergeCell ref="E66:F66"/>
    <mergeCell ref="B38:L38"/>
    <mergeCell ref="E40:F40"/>
    <mergeCell ref="G40:H40"/>
    <mergeCell ref="I40:K40"/>
    <mergeCell ref="G41:H41"/>
    <mergeCell ref="I41:K41"/>
    <mergeCell ref="E42:F42"/>
    <mergeCell ref="E43:F43"/>
    <mergeCell ref="E44:F44"/>
    <mergeCell ref="B40:D40"/>
    <mergeCell ref="E45:F45"/>
    <mergeCell ref="E46:F46"/>
    <mergeCell ref="E47:F47"/>
    <mergeCell ref="B47:D47"/>
    <mergeCell ref="B46:D46"/>
    <mergeCell ref="B45:D45"/>
    <mergeCell ref="B44:D44"/>
    <mergeCell ref="B43:D43"/>
    <mergeCell ref="B42:D42"/>
    <mergeCell ref="B28:C28"/>
    <mergeCell ref="D28:E28"/>
    <mergeCell ref="B17:C17"/>
    <mergeCell ref="D17:F17"/>
    <mergeCell ref="G17:J17"/>
    <mergeCell ref="B24:C24"/>
    <mergeCell ref="D24:E24"/>
    <mergeCell ref="B25:C25"/>
    <mergeCell ref="D25:E25"/>
    <mergeCell ref="B26:C26"/>
    <mergeCell ref="D26:E26"/>
    <mergeCell ref="B27:C27"/>
    <mergeCell ref="D27:E27"/>
    <mergeCell ref="B23:C23"/>
    <mergeCell ref="H22:J22"/>
    <mergeCell ref="F22:G22"/>
    <mergeCell ref="D23:E23"/>
    <mergeCell ref="A19:K19"/>
    <mergeCell ref="F21:G21"/>
    <mergeCell ref="B21:C21"/>
    <mergeCell ref="D21:E21"/>
    <mergeCell ref="H21:J21"/>
    <mergeCell ref="N56:R56"/>
    <mergeCell ref="N50:R50"/>
    <mergeCell ref="N44:R44"/>
    <mergeCell ref="N38:R38"/>
    <mergeCell ref="N32:R32"/>
    <mergeCell ref="N26:R26"/>
    <mergeCell ref="A1:AS4"/>
    <mergeCell ref="N110:R110"/>
    <mergeCell ref="N104:R104"/>
    <mergeCell ref="N98:R98"/>
    <mergeCell ref="N92:R92"/>
    <mergeCell ref="N86:R86"/>
    <mergeCell ref="N80:R80"/>
    <mergeCell ref="N74:R74"/>
    <mergeCell ref="N68:R68"/>
    <mergeCell ref="N62:R62"/>
    <mergeCell ref="N20:R20"/>
    <mergeCell ref="N14:R14"/>
    <mergeCell ref="N8:R8"/>
    <mergeCell ref="AR8:AS8"/>
    <mergeCell ref="AP8:AQ8"/>
    <mergeCell ref="AP9:AQ9"/>
    <mergeCell ref="AR9:AS9"/>
    <mergeCell ref="AP10:AQ10"/>
    <mergeCell ref="AR10:AS10"/>
    <mergeCell ref="AP11:AQ11"/>
    <mergeCell ref="AR11:AS11"/>
    <mergeCell ref="AP12:AQ12"/>
    <mergeCell ref="AR12:AS12"/>
    <mergeCell ref="AP15:AQ15"/>
    <mergeCell ref="AR15:AS15"/>
    <mergeCell ref="AP21:AQ21"/>
    <mergeCell ref="AR21:AS21"/>
    <mergeCell ref="AP22:AQ22"/>
    <mergeCell ref="AR22:AS22"/>
    <mergeCell ref="AP23:AQ23"/>
    <mergeCell ref="AR23:AS23"/>
    <mergeCell ref="AP16:AQ16"/>
    <mergeCell ref="AR16:AS16"/>
    <mergeCell ref="AP17:AQ17"/>
    <mergeCell ref="AR17:AS17"/>
    <mergeCell ref="AP18:AQ18"/>
    <mergeCell ref="AR18:AS18"/>
    <mergeCell ref="AP29:AQ29"/>
    <mergeCell ref="AR29:AS29"/>
    <mergeCell ref="AP30:AQ30"/>
    <mergeCell ref="AR30:AS30"/>
    <mergeCell ref="AP33:AQ33"/>
    <mergeCell ref="AR33:AS33"/>
    <mergeCell ref="AP24:AQ24"/>
    <mergeCell ref="AR24:AS24"/>
    <mergeCell ref="AP27:AQ27"/>
    <mergeCell ref="AR27:AS27"/>
    <mergeCell ref="AP28:AQ28"/>
    <mergeCell ref="AR28:AS28"/>
    <mergeCell ref="AP39:AQ39"/>
    <mergeCell ref="AR39:AS39"/>
    <mergeCell ref="AP40:AQ40"/>
    <mergeCell ref="AR40:AS40"/>
    <mergeCell ref="AP41:AQ41"/>
    <mergeCell ref="AR41:AS41"/>
    <mergeCell ref="AP34:AQ34"/>
    <mergeCell ref="AR34:AS34"/>
    <mergeCell ref="AP35:AQ35"/>
    <mergeCell ref="AR35:AS35"/>
    <mergeCell ref="AP36:AQ36"/>
    <mergeCell ref="AR36:AS36"/>
    <mergeCell ref="AP47:AQ47"/>
    <mergeCell ref="AR47:AS47"/>
    <mergeCell ref="AP48:AQ48"/>
    <mergeCell ref="AR48:AS48"/>
    <mergeCell ref="AP51:AQ51"/>
    <mergeCell ref="AR51:AS51"/>
    <mergeCell ref="AP42:AQ42"/>
    <mergeCell ref="AR42:AS42"/>
    <mergeCell ref="AP45:AQ45"/>
    <mergeCell ref="AR45:AS45"/>
    <mergeCell ref="AP46:AQ46"/>
    <mergeCell ref="AR46:AS46"/>
    <mergeCell ref="AP57:AQ57"/>
    <mergeCell ref="AR57:AS57"/>
    <mergeCell ref="AP58:AQ58"/>
    <mergeCell ref="AR58:AS58"/>
    <mergeCell ref="AP59:AQ59"/>
    <mergeCell ref="AR59:AS59"/>
    <mergeCell ref="AP52:AQ52"/>
    <mergeCell ref="AR52:AS52"/>
    <mergeCell ref="AP53:AQ53"/>
    <mergeCell ref="AR53:AS53"/>
    <mergeCell ref="AP54:AQ54"/>
    <mergeCell ref="AR54:AS54"/>
    <mergeCell ref="AP65:AQ65"/>
    <mergeCell ref="AR65:AS65"/>
    <mergeCell ref="AP66:AQ66"/>
    <mergeCell ref="AR66:AS66"/>
    <mergeCell ref="AP69:AQ69"/>
    <mergeCell ref="AR69:AS69"/>
    <mergeCell ref="AP60:AQ60"/>
    <mergeCell ref="AR60:AS60"/>
    <mergeCell ref="AP63:AQ63"/>
    <mergeCell ref="AR63:AS63"/>
    <mergeCell ref="AP64:AQ64"/>
    <mergeCell ref="AR64:AS64"/>
    <mergeCell ref="AP75:AQ75"/>
    <mergeCell ref="AR75:AS75"/>
    <mergeCell ref="AP76:AQ76"/>
    <mergeCell ref="AR76:AS76"/>
    <mergeCell ref="AP77:AQ77"/>
    <mergeCell ref="AR77:AS77"/>
    <mergeCell ref="AP70:AQ70"/>
    <mergeCell ref="AR70:AS70"/>
    <mergeCell ref="AP71:AQ71"/>
    <mergeCell ref="AR71:AS71"/>
    <mergeCell ref="AP72:AQ72"/>
    <mergeCell ref="AR72:AS72"/>
    <mergeCell ref="AP83:AQ83"/>
    <mergeCell ref="AR83:AS83"/>
    <mergeCell ref="AP84:AQ84"/>
    <mergeCell ref="AR84:AS84"/>
    <mergeCell ref="AP87:AQ87"/>
    <mergeCell ref="AR87:AS87"/>
    <mergeCell ref="AP78:AQ78"/>
    <mergeCell ref="AR78:AS78"/>
    <mergeCell ref="AP81:AQ81"/>
    <mergeCell ref="AR81:AS81"/>
    <mergeCell ref="AP82:AQ82"/>
    <mergeCell ref="AR82:AS82"/>
    <mergeCell ref="AP93:AQ93"/>
    <mergeCell ref="AR93:AS93"/>
    <mergeCell ref="AP94:AQ94"/>
    <mergeCell ref="AR94:AS94"/>
    <mergeCell ref="AP95:AQ95"/>
    <mergeCell ref="AR95:AS95"/>
    <mergeCell ref="AP88:AQ88"/>
    <mergeCell ref="AR88:AS88"/>
    <mergeCell ref="AP89:AQ89"/>
    <mergeCell ref="AR89:AS89"/>
    <mergeCell ref="AP90:AQ90"/>
    <mergeCell ref="AR90:AS90"/>
    <mergeCell ref="AP101:AQ101"/>
    <mergeCell ref="AR101:AS101"/>
    <mergeCell ref="AP102:AQ102"/>
    <mergeCell ref="AR102:AS102"/>
    <mergeCell ref="AP105:AQ105"/>
    <mergeCell ref="AR105:AS105"/>
    <mergeCell ref="AP96:AQ96"/>
    <mergeCell ref="AR96:AS96"/>
    <mergeCell ref="AP99:AQ99"/>
    <mergeCell ref="AR99:AS99"/>
    <mergeCell ref="AP100:AQ100"/>
    <mergeCell ref="AR100:AS100"/>
    <mergeCell ref="AP114:AQ114"/>
    <mergeCell ref="AR114:AS114"/>
    <mergeCell ref="AP111:AQ111"/>
    <mergeCell ref="AR111:AS111"/>
    <mergeCell ref="AP112:AQ112"/>
    <mergeCell ref="AR112:AS112"/>
    <mergeCell ref="AP113:AQ113"/>
    <mergeCell ref="AR113:AS113"/>
    <mergeCell ref="AP106:AQ106"/>
    <mergeCell ref="AR106:AS106"/>
    <mergeCell ref="AP107:AQ107"/>
    <mergeCell ref="AR107:AS107"/>
    <mergeCell ref="AP108:AQ108"/>
    <mergeCell ref="AR108:AS108"/>
    <mergeCell ref="AU1:AU1048576"/>
    <mergeCell ref="AV1:CO4"/>
    <mergeCell ref="BJ8:BN8"/>
    <mergeCell ref="CL8:CM8"/>
    <mergeCell ref="CN8:CO8"/>
    <mergeCell ref="CL9:CM9"/>
    <mergeCell ref="CN9:CO9"/>
    <mergeCell ref="CL10:CM10"/>
    <mergeCell ref="CN10:CO10"/>
    <mergeCell ref="CL11:CM11"/>
    <mergeCell ref="CN11:CO11"/>
    <mergeCell ref="BJ13:BN13"/>
    <mergeCell ref="CL14:CM14"/>
    <mergeCell ref="CN14:CO14"/>
    <mergeCell ref="CL15:CM15"/>
    <mergeCell ref="CN15:CO15"/>
    <mergeCell ref="CL16:CM16"/>
    <mergeCell ref="CN16:CO16"/>
    <mergeCell ref="BJ18:BN18"/>
    <mergeCell ref="CL19:CM19"/>
    <mergeCell ref="AV59:CP59"/>
    <mergeCell ref="CL25:CM25"/>
    <mergeCell ref="CN25:CO25"/>
    <mergeCell ref="CL26:CM26"/>
    <mergeCell ref="CN26:CO26"/>
    <mergeCell ref="BJ28:BN28"/>
    <mergeCell ref="CL29:CM29"/>
    <mergeCell ref="CN29:CO29"/>
    <mergeCell ref="CN19:CO19"/>
    <mergeCell ref="CL20:CM20"/>
    <mergeCell ref="CN20:CO20"/>
    <mergeCell ref="CL21:CM21"/>
    <mergeCell ref="CN21:CO21"/>
    <mergeCell ref="BJ23:BN23"/>
    <mergeCell ref="CL24:CM24"/>
    <mergeCell ref="CN24:CO24"/>
    <mergeCell ref="CL35:CM35"/>
    <mergeCell ref="CN35:CO35"/>
    <mergeCell ref="CL36:CM36"/>
    <mergeCell ref="CN36:CO36"/>
    <mergeCell ref="BJ38:BN38"/>
    <mergeCell ref="CL39:CM39"/>
    <mergeCell ref="CN39:CO39"/>
    <mergeCell ref="CL30:CM30"/>
    <mergeCell ref="CN30:CO30"/>
    <mergeCell ref="CL31:CM31"/>
    <mergeCell ref="CN31:CO31"/>
    <mergeCell ref="BJ33:BN33"/>
    <mergeCell ref="CL34:CM34"/>
    <mergeCell ref="CN34:CO34"/>
    <mergeCell ref="BJ48:BN48"/>
    <mergeCell ref="CL49:CM49"/>
    <mergeCell ref="CN49:CO49"/>
    <mergeCell ref="CL40:CM40"/>
    <mergeCell ref="CN40:CO40"/>
    <mergeCell ref="CL41:CM41"/>
    <mergeCell ref="CN41:CO41"/>
    <mergeCell ref="BJ43:BN43"/>
    <mergeCell ref="CL44:CM44"/>
    <mergeCell ref="CN44:CO44"/>
    <mergeCell ref="AW45:BG45"/>
    <mergeCell ref="CL55:CM55"/>
    <mergeCell ref="CN55:CO55"/>
    <mergeCell ref="CL56:CM56"/>
    <mergeCell ref="CN56:CO56"/>
    <mergeCell ref="AX14:AY14"/>
    <mergeCell ref="AZ14:BB14"/>
    <mergeCell ref="BC14:BF14"/>
    <mergeCell ref="AW18:AX18"/>
    <mergeCell ref="AY18:AZ18"/>
    <mergeCell ref="BA18:BB18"/>
    <mergeCell ref="BA19:BB19"/>
    <mergeCell ref="BC19:BE19"/>
    <mergeCell ref="CL50:CM50"/>
    <mergeCell ref="CN50:CO50"/>
    <mergeCell ref="CL51:CM51"/>
    <mergeCell ref="CN51:CO51"/>
    <mergeCell ref="BJ53:BN53"/>
    <mergeCell ref="CL54:CM54"/>
    <mergeCell ref="CN54:CO54"/>
    <mergeCell ref="CL45:CM45"/>
    <mergeCell ref="CN45:CO45"/>
    <mergeCell ref="CL46:CM46"/>
    <mergeCell ref="CN46:CO46"/>
    <mergeCell ref="BE47:BF47"/>
    <mergeCell ref="AW53:AY53"/>
    <mergeCell ref="AZ53:BA53"/>
    <mergeCell ref="AW54:AY54"/>
    <mergeCell ref="AZ54:BA54"/>
    <mergeCell ref="BB48:BC48"/>
    <mergeCell ref="BD48:BF48"/>
    <mergeCell ref="AW49:AY49"/>
    <mergeCell ref="AZ49:BA49"/>
    <mergeCell ref="AW50:AY50"/>
    <mergeCell ref="AZ50:BA50"/>
    <mergeCell ref="AW51:AY51"/>
    <mergeCell ref="AZ51:BA51"/>
    <mergeCell ref="AW52:AY52"/>
    <mergeCell ref="AZ52:BA52"/>
    <mergeCell ref="AW47:AX47"/>
    <mergeCell ref="AY47:AZ47"/>
    <mergeCell ref="BA47:BB47"/>
    <mergeCell ref="BC47:BD47"/>
    <mergeCell ref="CQ1:CQ1048576"/>
    <mergeCell ref="CS8:CU8"/>
    <mergeCell ref="CV8:CW8"/>
    <mergeCell ref="DC8:DE8"/>
    <mergeCell ref="DA8:DB8"/>
    <mergeCell ref="DH8:DJ8"/>
    <mergeCell ref="CS9:CU9"/>
    <mergeCell ref="CV9:CW9"/>
    <mergeCell ref="DA9:DB9"/>
    <mergeCell ref="DC9:DE9"/>
    <mergeCell ref="DH9:DJ9"/>
    <mergeCell ref="CR19:DT19"/>
    <mergeCell ref="DC21:DJ25"/>
    <mergeCell ref="CX27:DC30"/>
    <mergeCell ref="DJ27:DO30"/>
    <mergeCell ref="CR1:DT4"/>
    <mergeCell ref="CS6:CU6"/>
    <mergeCell ref="CV6:CW6"/>
    <mergeCell ref="DC6:DE6"/>
    <mergeCell ref="DA6:DB6"/>
    <mergeCell ref="DH6:DJ6"/>
    <mergeCell ref="DK6:DL6"/>
    <mergeCell ref="DP6:DQ6"/>
    <mergeCell ref="DR6:DT6"/>
    <mergeCell ref="BC18:BD18"/>
    <mergeCell ref="BE18:BF18"/>
    <mergeCell ref="AZ25:BA25"/>
    <mergeCell ref="AZ24:BA24"/>
    <mergeCell ref="AZ23:BA23"/>
    <mergeCell ref="AZ22:BA22"/>
    <mergeCell ref="AZ21:BA21"/>
    <mergeCell ref="AZ20:BA20"/>
    <mergeCell ref="AW16:BF16"/>
    <mergeCell ref="AW25:AY25"/>
    <mergeCell ref="AW24:AY24"/>
    <mergeCell ref="AW23:AY23"/>
    <mergeCell ref="AW22:AY22"/>
    <mergeCell ref="AW21:AY21"/>
    <mergeCell ref="AW20:AY20"/>
    <mergeCell ref="CS13:CU13"/>
    <mergeCell ref="CS17:CU17"/>
    <mergeCell ref="DH13:DJ13"/>
    <mergeCell ref="DH17:DJ17"/>
    <mergeCell ref="CR11:DT11"/>
    <mergeCell ref="CR15:DT15"/>
    <mergeCell ref="DK13:DL13"/>
    <mergeCell ref="DP13:DQ13"/>
    <mergeCell ref="DX6:DY6"/>
    <mergeCell ref="DV8:DW8"/>
    <mergeCell ref="DX8:DY8"/>
    <mergeCell ref="DV9:DW9"/>
    <mergeCell ref="DX9:DY9"/>
    <mergeCell ref="DV13:DW13"/>
    <mergeCell ref="DX13:DY13"/>
    <mergeCell ref="DV17:DW17"/>
    <mergeCell ref="DX17:DY17"/>
    <mergeCell ref="DV11:DW11"/>
    <mergeCell ref="DX11:DY11"/>
    <mergeCell ref="DK8:DL8"/>
    <mergeCell ref="DP8:DQ8"/>
    <mergeCell ref="DR8:DT8"/>
    <mergeCell ref="DK9:DL9"/>
    <mergeCell ref="DP9:DQ9"/>
    <mergeCell ref="CV17:CW17"/>
    <mergeCell ref="CV13:CW13"/>
    <mergeCell ref="DX15:DY15"/>
    <mergeCell ref="DV15:DW15"/>
    <mergeCell ref="DR13:DT13"/>
    <mergeCell ref="DK17:DL17"/>
    <mergeCell ref="DP17:DQ17"/>
    <mergeCell ref="DR17:DT17"/>
    <mergeCell ref="DV6:DW6"/>
    <mergeCell ref="DR9:DT9"/>
    <mergeCell ref="DC17:DE17"/>
    <mergeCell ref="DC13:DE13"/>
    <mergeCell ref="DA13:DB13"/>
    <mergeCell ref="DA17:DB17"/>
    <mergeCell ref="DA12:DB12"/>
    <mergeCell ref="CV12:CW12"/>
  </mergeCells>
  <conditionalFormatting sqref="C7:C1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AY7:AY1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7:B15">
    <cfRule type="top10" dxfId="0" priority="2" rank="3"/>
  </conditionalFormatting>
  <conditionalFormatting sqref="AY62:AY67">
    <cfRule type="iconSet" priority="1">
      <iconSet iconSet="3Arrows">
        <cfvo type="percent" val="0"/>
        <cfvo type="percent" val="33"/>
        <cfvo type="percent" val="67"/>
      </iconSet>
    </cfRule>
  </conditionalFormatting>
  <dataValidations count="1">
    <dataValidation type="whole" allowBlank="1" showInputMessage="1" showErrorMessage="1" errorTitle="Erro" error="Vc Só Pode Digitar Numeros Nesse Campo" sqref="DO17:DO18 DV8:DY9 DO8:DO9 DM8:DM9 DX17 DV17 DM13 DO13 DV13:DY13 DM17:DM18 CZ17:CZ18 CX17:CX18 CZ13 CX13 BK61:BK111 BM61:BM111 BM1:BM4 BK1:BK4 O64:O1048576 O1:O62 Q1:Q1048576 BK6:BK56 BM6:BM56 CX8:CX9 CZ8:CZ9">
      <formula1>0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N7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Plan4</vt:lpstr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2014-04-02T04:11:18Z</dcterms:created>
  <dcterms:modified xsi:type="dcterms:W3CDTF">2014-05-25T03:40:54Z</dcterms:modified>
</cp:coreProperties>
</file>