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érôme\Dropbox\CHC - Weight and Balance\"/>
    </mc:Choice>
  </mc:AlternateContent>
  <xr:revisionPtr revIDLastSave="0" documentId="13_ncr:1_{1CB6CCD9-4653-4BC8-B2CC-835B2B1144E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22 beta II" sheetId="1" r:id="rId1"/>
    <sheet name="PreFlightMOU" sheetId="8" r:id="rId2"/>
    <sheet name="SpecData" sheetId="6" r:id="rId3"/>
    <sheet name="Perfo HOGE" sheetId="2" r:id="rId4"/>
    <sheet name="Perfo HIGE" sheetId="4" r:id="rId5"/>
    <sheet name="Power" sheetId="3" r:id="rId6"/>
    <sheet name="VNE" sheetId="5" r:id="rId7"/>
    <sheet name="OPCeiling" sheetId="7" r:id="rId8"/>
  </sheets>
  <definedNames>
    <definedName name="_xlnm.Print_Area" localSheetId="1">PreFlightMOU!$A$2:$T$30</definedName>
    <definedName name="_xlnm.Print_Area" localSheetId="0">'R22 beta II'!$A$2:$AD$36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29" i="1" l="1"/>
  <c r="G3" i="7" l="1"/>
  <c r="H3" i="7"/>
  <c r="J3" i="4"/>
  <c r="G3" i="4"/>
  <c r="S25" i="2"/>
  <c r="D3" i="7"/>
  <c r="F3" i="4"/>
  <c r="K7" i="2"/>
  <c r="K8" i="2"/>
  <c r="R10" i="1"/>
  <c r="B3" i="7"/>
  <c r="R8" i="1"/>
  <c r="C3" i="7"/>
  <c r="F3" i="7"/>
  <c r="E3" i="7"/>
  <c r="F7" i="7"/>
  <c r="I12" i="8"/>
  <c r="O16" i="1"/>
  <c r="B75" i="6"/>
  <c r="B76" i="6"/>
  <c r="B56" i="6"/>
  <c r="B57" i="6"/>
  <c r="AF60" i="2"/>
  <c r="X62" i="2"/>
  <c r="X65" i="2"/>
  <c r="W69" i="2"/>
  <c r="W73" i="2"/>
  <c r="Y69" i="2"/>
  <c r="Y73" i="2"/>
  <c r="AA62" i="2"/>
  <c r="AA69" i="2"/>
  <c r="AE62" i="2"/>
  <c r="AE65" i="2"/>
  <c r="AE69" i="2"/>
  <c r="AE73" i="2"/>
  <c r="AG69" i="2"/>
  <c r="AG73" i="2"/>
  <c r="I3" i="2"/>
  <c r="J3" i="2"/>
  <c r="E7" i="8"/>
  <c r="N60" i="2"/>
  <c r="F62" i="2"/>
  <c r="F65" i="2"/>
  <c r="E69" i="2"/>
  <c r="E73" i="2"/>
  <c r="G69" i="2"/>
  <c r="G73" i="2"/>
  <c r="I62" i="2"/>
  <c r="I69" i="2"/>
  <c r="M62" i="2"/>
  <c r="M65" i="2"/>
  <c r="M69" i="2"/>
  <c r="M73" i="2"/>
  <c r="O69" i="2"/>
  <c r="O73" i="2"/>
  <c r="N8" i="2"/>
  <c r="F13" i="2"/>
  <c r="F10" i="2"/>
  <c r="I10" i="2"/>
  <c r="I17" i="2"/>
  <c r="M10" i="2"/>
  <c r="M13" i="2"/>
  <c r="E14" i="6"/>
  <c r="E13" i="6"/>
  <c r="H3" i="2"/>
  <c r="DA59" i="2"/>
  <c r="DA60" i="2"/>
  <c r="CI59" i="2"/>
  <c r="CI60" i="2"/>
  <c r="BQ59" i="2"/>
  <c r="BQ60" i="2"/>
  <c r="AX59" i="2"/>
  <c r="AX60" i="2"/>
  <c r="AF59" i="2"/>
  <c r="N7" i="2"/>
  <c r="N59" i="2"/>
  <c r="BI62" i="2"/>
  <c r="BI65" i="2"/>
  <c r="BH69" i="2"/>
  <c r="BJ69" i="2"/>
  <c r="BL62" i="2"/>
  <c r="BL69" i="2"/>
  <c r="BP62" i="2"/>
  <c r="BP65" i="2"/>
  <c r="BP69" i="2"/>
  <c r="BR69" i="2"/>
  <c r="K3" i="2"/>
  <c r="AP62" i="2"/>
  <c r="AP65" i="2"/>
  <c r="AO69" i="2"/>
  <c r="AQ69" i="2"/>
  <c r="AS62" i="2"/>
  <c r="AS69" i="2"/>
  <c r="AW62" i="2"/>
  <c r="AW65" i="2"/>
  <c r="AW69" i="2"/>
  <c r="AY69" i="2"/>
  <c r="Q8" i="1"/>
  <c r="I5" i="3"/>
  <c r="I5" i="5"/>
  <c r="I4" i="3"/>
  <c r="I4" i="5"/>
  <c r="CX69" i="2"/>
  <c r="CF69" i="2"/>
  <c r="BN69" i="2"/>
  <c r="AU69" i="2"/>
  <c r="AC69" i="2"/>
  <c r="AC73" i="2"/>
  <c r="H22" i="8"/>
  <c r="CV62" i="2"/>
  <c r="CS65" i="2"/>
  <c r="CV69" i="2"/>
  <c r="CS62" i="2"/>
  <c r="CZ62" i="2"/>
  <c r="CZ65" i="2"/>
  <c r="CA65" i="2"/>
  <c r="CD69" i="2"/>
  <c r="CD62" i="2"/>
  <c r="CA62" i="2"/>
  <c r="CH62" i="2"/>
  <c r="CH65" i="2"/>
  <c r="K69" i="2"/>
  <c r="K73" i="2"/>
  <c r="K8" i="4"/>
  <c r="H3" i="4"/>
  <c r="K7" i="4"/>
  <c r="DB69" i="2"/>
  <c r="CZ69" i="2"/>
  <c r="CT69" i="2"/>
  <c r="CR69" i="2"/>
  <c r="CJ69" i="2"/>
  <c r="CH69" i="2"/>
  <c r="BZ69" i="2"/>
  <c r="CB69" i="2"/>
  <c r="K9" i="8"/>
  <c r="K8" i="8"/>
  <c r="K7" i="8"/>
  <c r="K6" i="8"/>
  <c r="N21" i="1"/>
  <c r="M6" i="8"/>
  <c r="H7" i="8"/>
  <c r="K24" i="8"/>
  <c r="Q10" i="1"/>
  <c r="J2" i="8"/>
  <c r="M2" i="8"/>
  <c r="L28" i="8"/>
  <c r="P34" i="1"/>
  <c r="C7" i="1"/>
  <c r="E7" i="1"/>
  <c r="B31" i="1"/>
  <c r="H7" i="1"/>
  <c r="K7" i="1"/>
  <c r="N66" i="1"/>
  <c r="N59" i="1"/>
  <c r="N58" i="1"/>
  <c r="D11" i="6"/>
  <c r="L3" i="2"/>
  <c r="G3" i="2"/>
  <c r="F3" i="2"/>
  <c r="I3" i="4"/>
  <c r="K3" i="4"/>
  <c r="L3" i="4"/>
  <c r="I3" i="7"/>
  <c r="G7" i="7"/>
  <c r="H12" i="6"/>
  <c r="G12" i="6"/>
  <c r="C31" i="1"/>
  <c r="I1" i="5"/>
  <c r="I1" i="3"/>
  <c r="D80" i="6"/>
  <c r="D79" i="6"/>
  <c r="D78" i="6"/>
  <c r="H11" i="6"/>
  <c r="H10" i="6"/>
  <c r="G10" i="6"/>
  <c r="C28" i="1"/>
  <c r="G11" i="6"/>
  <c r="C29" i="1"/>
  <c r="D10" i="6"/>
  <c r="A9" i="1"/>
  <c r="A8" i="1"/>
  <c r="L32" i="1"/>
  <c r="H28" i="1"/>
  <c r="F29" i="1"/>
  <c r="G29" i="1"/>
  <c r="L31" i="1"/>
  <c r="Q31" i="1"/>
  <c r="C83" i="6" s="1"/>
  <c r="L30" i="1"/>
  <c r="D82" i="6" s="1"/>
  <c r="O29" i="1"/>
  <c r="M29" i="1"/>
  <c r="B74" i="6"/>
  <c r="C76" i="6"/>
  <c r="B58" i="6"/>
  <c r="B59" i="6"/>
  <c r="B60" i="6"/>
  <c r="B61" i="6"/>
  <c r="B62" i="6"/>
  <c r="B54" i="6"/>
  <c r="E23" i="6"/>
  <c r="K2" i="1"/>
  <c r="H2" i="1"/>
  <c r="E28" i="6"/>
  <c r="E29" i="6"/>
  <c r="E26" i="6"/>
  <c r="E22" i="6"/>
  <c r="Q50" i="1"/>
  <c r="D83" i="6"/>
  <c r="D67" i="6" s="1"/>
  <c r="D9" i="3"/>
  <c r="BB24" i="3"/>
  <c r="BC24" i="3"/>
  <c r="BD24" i="3"/>
  <c r="BE24" i="3"/>
  <c r="BF24" i="3"/>
  <c r="BG24" i="3"/>
  <c r="BH24" i="3"/>
  <c r="BI24" i="3"/>
  <c r="BB23" i="3"/>
  <c r="BC23" i="3"/>
  <c r="BD23" i="3"/>
  <c r="BE23" i="3"/>
  <c r="BF23" i="3"/>
  <c r="BG23" i="3"/>
  <c r="BH23" i="3"/>
  <c r="BI23" i="3"/>
  <c r="BB22" i="3"/>
  <c r="BC22" i="3"/>
  <c r="BD22" i="3"/>
  <c r="BE22" i="3"/>
  <c r="BF22" i="3"/>
  <c r="BG22" i="3"/>
  <c r="BH22" i="3"/>
  <c r="BI22" i="3"/>
  <c r="BB21" i="3"/>
  <c r="BC21" i="3"/>
  <c r="BD21" i="3"/>
  <c r="BE21" i="3"/>
  <c r="BF21" i="3"/>
  <c r="BG21" i="3"/>
  <c r="BH21" i="3"/>
  <c r="BI21" i="3"/>
  <c r="BB20" i="3"/>
  <c r="BC20" i="3"/>
  <c r="BD20" i="3"/>
  <c r="BE20" i="3"/>
  <c r="BF20" i="3"/>
  <c r="BG20" i="3"/>
  <c r="BH20" i="3"/>
  <c r="BI20" i="3"/>
  <c r="BB19" i="3"/>
  <c r="BC19" i="3"/>
  <c r="BD19" i="3"/>
  <c r="BE19" i="3"/>
  <c r="BF19" i="3"/>
  <c r="BG19" i="3"/>
  <c r="BH19" i="3"/>
  <c r="BI19" i="3"/>
  <c r="AT18" i="3"/>
  <c r="AT19" i="3"/>
  <c r="AT20" i="3"/>
  <c r="AT21" i="3"/>
  <c r="AS18" i="3"/>
  <c r="AS19" i="3"/>
  <c r="AS20" i="3"/>
  <c r="AS21" i="3"/>
  <c r="AR18" i="3"/>
  <c r="AR19" i="3"/>
  <c r="AR20" i="3"/>
  <c r="AR21" i="3"/>
  <c r="AQ18" i="3"/>
  <c r="AQ19" i="3"/>
  <c r="AQ20" i="3"/>
  <c r="AQ21" i="3"/>
  <c r="BB17" i="3"/>
  <c r="BB18" i="3"/>
  <c r="AU17" i="3"/>
  <c r="AU18" i="3"/>
  <c r="AU19" i="3"/>
  <c r="AU20" i="3"/>
  <c r="AU21" i="3"/>
  <c r="AV16" i="3"/>
  <c r="AV17" i="3"/>
  <c r="AV18" i="3"/>
  <c r="AV19" i="3"/>
  <c r="AV20" i="3"/>
  <c r="AV21" i="3"/>
  <c r="AW15" i="3"/>
  <c r="AW16" i="3"/>
  <c r="AW17" i="3"/>
  <c r="AW18" i="3"/>
  <c r="AW19" i="3"/>
  <c r="AW20" i="3"/>
  <c r="AW21" i="3"/>
  <c r="BI14" i="3"/>
  <c r="BI15" i="3"/>
  <c r="BI16" i="3"/>
  <c r="BH14" i="3"/>
  <c r="BH15" i="3"/>
  <c r="BH16" i="3"/>
  <c r="BG14" i="3"/>
  <c r="BG15" i="3"/>
  <c r="BG16" i="3"/>
  <c r="BF14" i="3"/>
  <c r="BF15" i="3"/>
  <c r="BF16" i="3"/>
  <c r="BE14" i="3"/>
  <c r="BE15" i="3"/>
  <c r="BE16" i="3"/>
  <c r="BD14" i="3"/>
  <c r="BD15" i="3"/>
  <c r="BD16" i="3"/>
  <c r="BC14" i="3"/>
  <c r="BC15" i="3"/>
  <c r="BC16" i="3"/>
  <c r="BB14" i="3"/>
  <c r="BB15" i="3"/>
  <c r="BB16" i="3"/>
  <c r="BA14" i="3"/>
  <c r="BA15" i="3"/>
  <c r="BA16" i="3"/>
  <c r="AY14" i="3"/>
  <c r="AY15" i="3"/>
  <c r="AY16" i="3"/>
  <c r="AY17" i="3"/>
  <c r="AY18" i="3"/>
  <c r="AY19" i="3"/>
  <c r="AY20" i="3"/>
  <c r="AY21" i="3"/>
  <c r="AX14" i="3"/>
  <c r="AX15" i="3"/>
  <c r="AX16" i="3"/>
  <c r="AX17" i="3"/>
  <c r="AX18" i="3"/>
  <c r="AX19" i="3"/>
  <c r="AX20" i="3"/>
  <c r="AX21" i="3"/>
  <c r="BI9" i="3"/>
  <c r="BH9" i="3"/>
  <c r="BG9" i="3"/>
  <c r="BF9" i="3"/>
  <c r="BE9" i="3"/>
  <c r="BD9" i="3"/>
  <c r="BC9" i="3"/>
  <c r="BB9" i="3"/>
  <c r="BA9" i="3"/>
  <c r="AY9" i="3"/>
  <c r="AX9" i="3"/>
  <c r="AW9" i="3"/>
  <c r="AV9" i="3"/>
  <c r="AU9" i="3"/>
  <c r="AT9" i="3"/>
  <c r="AS9" i="3"/>
  <c r="AR9" i="3"/>
  <c r="AQ9" i="3"/>
  <c r="AO9" i="3"/>
  <c r="AN9" i="3"/>
  <c r="AM9" i="3"/>
  <c r="AL9" i="3"/>
  <c r="AK9" i="3"/>
  <c r="AJ9" i="3"/>
  <c r="AI9" i="3"/>
  <c r="AH9" i="3"/>
  <c r="AG9" i="3"/>
  <c r="K9" i="3"/>
  <c r="J9" i="3"/>
  <c r="I9" i="3"/>
  <c r="H9" i="3"/>
  <c r="G9" i="3"/>
  <c r="F9" i="3"/>
  <c r="E9" i="3"/>
  <c r="C9" i="3"/>
  <c r="BC17" i="3"/>
  <c r="BC18" i="3"/>
  <c r="A26" i="1"/>
  <c r="D7" i="8"/>
  <c r="BD17" i="3"/>
  <c r="D1" i="5"/>
  <c r="N24" i="1"/>
  <c r="M9" i="8"/>
  <c r="C61" i="6"/>
  <c r="C60" i="6"/>
  <c r="C59" i="6"/>
  <c r="D61" i="6"/>
  <c r="E13" i="1"/>
  <c r="D62" i="6"/>
  <c r="D60" i="6"/>
  <c r="K12" i="1"/>
  <c r="D58" i="6"/>
  <c r="K13" i="1"/>
  <c r="C62" i="6"/>
  <c r="C58" i="6"/>
  <c r="C75" i="6"/>
  <c r="H7" i="4"/>
  <c r="H8" i="4"/>
  <c r="F10" i="4"/>
  <c r="D1" i="3"/>
  <c r="N22" i="1"/>
  <c r="M7" i="8"/>
  <c r="D66" i="6"/>
  <c r="E18" i="1" s="1"/>
  <c r="Q49" i="1"/>
  <c r="L10" i="4"/>
  <c r="L14" i="4"/>
  <c r="I10" i="4"/>
  <c r="Q18" i="4"/>
  <c r="K26" i="1"/>
  <c r="K18" i="1"/>
  <c r="Q32" i="1"/>
  <c r="L23" i="8"/>
  <c r="K26" i="8"/>
  <c r="BD18" i="3"/>
  <c r="BE17" i="3"/>
  <c r="E12" i="1"/>
  <c r="K10" i="1"/>
  <c r="E10" i="1"/>
  <c r="K14" i="1"/>
  <c r="E14" i="1"/>
  <c r="N23" i="1"/>
  <c r="M8" i="8"/>
  <c r="Q9" i="8"/>
  <c r="Q8" i="8"/>
  <c r="Q7" i="8"/>
  <c r="O9" i="8"/>
  <c r="O8" i="8"/>
  <c r="O7" i="8"/>
  <c r="K23" i="8"/>
  <c r="BE18" i="3"/>
  <c r="BF17" i="3"/>
  <c r="BF18" i="3"/>
  <c r="BG17" i="3"/>
  <c r="BG18" i="3"/>
  <c r="BH17" i="3"/>
  <c r="BI17" i="3"/>
  <c r="BI18" i="3"/>
  <c r="BH18" i="3"/>
  <c r="F14" i="4"/>
  <c r="B7" i="1"/>
  <c r="D59" i="6"/>
  <c r="C56" i="6"/>
  <c r="C57" i="6"/>
  <c r="D56" i="6"/>
  <c r="D57" i="6"/>
  <c r="D75" i="6"/>
  <c r="D76" i="6"/>
  <c r="L12" i="8"/>
  <c r="R16" i="1"/>
  <c r="CF73" i="2"/>
  <c r="CH73" i="2"/>
  <c r="CJ73" i="2"/>
  <c r="BZ73" i="2"/>
  <c r="CB73" i="2"/>
  <c r="CX73" i="2"/>
  <c r="CZ73" i="2"/>
  <c r="DB73" i="2"/>
  <c r="CR73" i="2"/>
  <c r="CT73" i="2"/>
  <c r="AU73" i="2"/>
  <c r="AW73" i="2"/>
  <c r="AY73" i="2"/>
  <c r="AO73" i="2"/>
  <c r="AQ73" i="2"/>
  <c r="BN73" i="2"/>
  <c r="BP73" i="2"/>
  <c r="BR73" i="2"/>
  <c r="BH73" i="2"/>
  <c r="BJ73" i="2"/>
  <c r="C65" i="6"/>
  <c r="B23" i="1"/>
  <c r="D65" i="6"/>
  <c r="C64" i="6"/>
  <c r="D64" i="6"/>
  <c r="E9" i="1"/>
  <c r="K9" i="1"/>
  <c r="E8" i="1"/>
  <c r="K8" i="1"/>
  <c r="K11" i="1"/>
  <c r="E11" i="1"/>
  <c r="B55" i="6"/>
  <c r="B15" i="1"/>
  <c r="C55" i="6"/>
  <c r="C63" i="6"/>
  <c r="D55" i="6"/>
  <c r="D63" i="6"/>
  <c r="K15" i="1"/>
  <c r="E15" i="1"/>
  <c r="K22" i="1"/>
  <c r="E22" i="1"/>
  <c r="B22" i="1"/>
  <c r="E18" i="8"/>
  <c r="E17" i="8"/>
  <c r="K23" i="1"/>
  <c r="K24" i="1"/>
  <c r="E23" i="1"/>
  <c r="E24" i="1"/>
  <c r="C15" i="1"/>
  <c r="H15" i="1"/>
  <c r="D71" i="6"/>
  <c r="C71" i="6"/>
  <c r="F105" i="6"/>
  <c r="E105" i="6"/>
  <c r="CD72" i="2" s="1"/>
  <c r="CD73" i="2" s="1"/>
  <c r="D105" i="6"/>
  <c r="C105" i="6"/>
  <c r="AS72" i="2" s="1"/>
  <c r="AS73" i="2" s="1"/>
  <c r="B105" i="6"/>
  <c r="A105" i="6"/>
  <c r="I72" i="2" s="1"/>
  <c r="I73" i="2" s="1"/>
  <c r="E19" i="8"/>
  <c r="C13" i="8"/>
  <c r="B24" i="1"/>
  <c r="E3" i="2"/>
  <c r="E3" i="4"/>
  <c r="C24" i="1"/>
  <c r="H24" i="1"/>
  <c r="L13" i="4"/>
  <c r="I13" i="4"/>
  <c r="I14" i="4"/>
  <c r="I16" i="4"/>
  <c r="F13" i="4"/>
  <c r="E17" i="2"/>
  <c r="E21" i="2"/>
  <c r="G17" i="2"/>
  <c r="G21" i="2"/>
  <c r="I20" i="2"/>
  <c r="I21" i="2"/>
  <c r="K17" i="2"/>
  <c r="K21" i="2"/>
  <c r="M17" i="2"/>
  <c r="M21" i="2"/>
  <c r="O17" i="2"/>
  <c r="O21" i="2"/>
  <c r="O20" i="2"/>
  <c r="E20" i="2"/>
  <c r="G20" i="2"/>
  <c r="K20" i="2"/>
  <c r="M20" i="2"/>
  <c r="A25" i="1"/>
  <c r="A21" i="1"/>
  <c r="A104" i="6"/>
  <c r="G16" i="8" s="1"/>
  <c r="E72" i="2"/>
  <c r="K72" i="2"/>
  <c r="G19" i="8"/>
  <c r="B104" i="6"/>
  <c r="AA72" i="2"/>
  <c r="AA73" i="2" s="1"/>
  <c r="AB75" i="2" s="1"/>
  <c r="AB78" i="2" s="1"/>
  <c r="AG72" i="2"/>
  <c r="AC72" i="2"/>
  <c r="Y72" i="2"/>
  <c r="AE72" i="2"/>
  <c r="W72" i="2"/>
  <c r="I19" i="8"/>
  <c r="C104" i="6"/>
  <c r="K16" i="8" s="1"/>
  <c r="AO72" i="2"/>
  <c r="AU72" i="2"/>
  <c r="K19" i="8"/>
  <c r="D104" i="6"/>
  <c r="BL72" i="2"/>
  <c r="BL73" i="2" s="1"/>
  <c r="BM75" i="2" s="1"/>
  <c r="BM78" i="2" s="1"/>
  <c r="BP72" i="2"/>
  <c r="BH72" i="2"/>
  <c r="BR72" i="2"/>
  <c r="BN72" i="2"/>
  <c r="BJ72" i="2"/>
  <c r="M19" i="8"/>
  <c r="E104" i="6"/>
  <c r="O16" i="8" s="1"/>
  <c r="CF72" i="2"/>
  <c r="CH72" i="2"/>
  <c r="O19" i="8"/>
  <c r="F104" i="6"/>
  <c r="CV72" i="2"/>
  <c r="CV73" i="2" s="1"/>
  <c r="CW75" i="2" s="1"/>
  <c r="CW78" i="2" s="1"/>
  <c r="CZ72" i="2"/>
  <c r="CR72" i="2"/>
  <c r="DB72" i="2"/>
  <c r="CX72" i="2"/>
  <c r="CT72" i="2"/>
  <c r="Q19" i="8"/>
  <c r="Q15" i="8"/>
  <c r="Q16" i="8"/>
  <c r="Q17" i="8"/>
  <c r="Q18" i="8"/>
  <c r="O15" i="8"/>
  <c r="O17" i="8"/>
  <c r="M15" i="8"/>
  <c r="M16" i="8"/>
  <c r="M17" i="8"/>
  <c r="M18" i="8"/>
  <c r="K15" i="8"/>
  <c r="K17" i="8"/>
  <c r="I15" i="8"/>
  <c r="I16" i="8"/>
  <c r="I17" i="8"/>
  <c r="I18" i="8"/>
  <c r="G15" i="8"/>
  <c r="G17" i="8"/>
  <c r="J23" i="2"/>
  <c r="D3" i="3"/>
  <c r="I19" i="4"/>
  <c r="Q18" i="1"/>
  <c r="D3" i="5"/>
  <c r="I3" i="3"/>
  <c r="I3" i="5"/>
  <c r="R24" i="1"/>
  <c r="J26" i="2"/>
  <c r="Q19" i="1"/>
  <c r="D2" i="3"/>
  <c r="D2" i="5"/>
  <c r="E15" i="8"/>
  <c r="E16" i="8"/>
  <c r="I2" i="3"/>
  <c r="I2" i="5"/>
  <c r="P24" i="1"/>
  <c r="R22" i="1"/>
  <c r="R23" i="1"/>
  <c r="P22" i="1"/>
  <c r="P23" i="1"/>
  <c r="AT75" i="2" l="1"/>
  <c r="AT78" i="2" s="1"/>
  <c r="CE75" i="2"/>
  <c r="CE78" i="2" s="1"/>
  <c r="K19" i="1"/>
  <c r="K20" i="1" s="1"/>
  <c r="E19" i="1"/>
  <c r="E20" i="1" s="1"/>
  <c r="C20" i="1" s="1"/>
  <c r="C66" i="6"/>
  <c r="C67" i="6"/>
  <c r="B19" i="1" s="1"/>
  <c r="J75" i="2"/>
  <c r="J78" i="2" s="1"/>
  <c r="G18" i="8"/>
  <c r="K18" i="8"/>
  <c r="O18" i="8"/>
  <c r="BZ72" i="2"/>
  <c r="CB72" i="2"/>
  <c r="CJ72" i="2"/>
  <c r="AQ72" i="2"/>
  <c r="AY72" i="2"/>
  <c r="AW72" i="2"/>
  <c r="G72" i="2"/>
  <c r="O72" i="2"/>
  <c r="M72" i="2"/>
  <c r="D69" i="6"/>
  <c r="F30" i="1"/>
  <c r="H30" i="1" s="1"/>
  <c r="F31" i="1"/>
  <c r="H31" i="1" s="1"/>
  <c r="Q30" i="1"/>
  <c r="C82" i="6" s="1"/>
  <c r="C69" i="6" l="1"/>
  <c r="B20" i="1" s="1"/>
  <c r="B18" i="1"/>
  <c r="H20" i="1"/>
</calcChain>
</file>

<file path=xl/sharedStrings.xml><?xml version="1.0" encoding="utf-8"?>
<sst xmlns="http://schemas.openxmlformats.org/spreadsheetml/2006/main" count="1898" uniqueCount="362">
  <si>
    <t>READ USE INSTRUCTION UNDER THIS TABLE</t>
  </si>
  <si>
    <t xml:space="preserve">Weight &amp; balance R22 Beta II: </t>
  </si>
  <si>
    <t>©Jérôme Lovey</t>
  </si>
  <si>
    <t>A</t>
  </si>
  <si>
    <t>D</t>
  </si>
  <si>
    <t xml:space="preserve">Weight </t>
  </si>
  <si>
    <t>Long. Arm [in]</t>
  </si>
  <si>
    <t>Long. moment [in. -lb]</t>
  </si>
  <si>
    <t>Lat. Arm [in]</t>
  </si>
  <si>
    <t>lat. moment[in. -lb]</t>
  </si>
  <si>
    <t>Environnement</t>
  </si>
  <si>
    <t>Select unit=&gt;</t>
  </si>
  <si>
    <t>[kg]</t>
  </si>
  <si>
    <t>Helicopter</t>
  </si>
  <si>
    <t>10'000 ft</t>
  </si>
  <si>
    <t>Temp. OAT:</t>
  </si>
  <si>
    <t>°C</t>
  </si>
  <si>
    <t>ΔTemp ISA:</t>
  </si>
  <si>
    <t>AD</t>
  </si>
  <si>
    <r>
      <t>Door pilot (-5.2 lbs)</t>
    </r>
    <r>
      <rPr>
        <b/>
        <sz val="11"/>
        <color theme="1"/>
        <rFont val="Calibri"/>
        <family val="2"/>
        <scheme val="minor"/>
      </rPr>
      <t>if removed</t>
    </r>
  </si>
  <si>
    <r>
      <t>Door copilot (-5.2 lbs)</t>
    </r>
    <r>
      <rPr>
        <b/>
        <sz val="11"/>
        <color theme="1"/>
        <rFont val="Calibri"/>
        <family val="2"/>
        <scheme val="minor"/>
      </rPr>
      <t>if removed</t>
    </r>
  </si>
  <si>
    <t>Call sign:</t>
  </si>
  <si>
    <t>LSGS</t>
  </si>
  <si>
    <r>
      <t>Removable cyclic(-0.8)</t>
    </r>
    <r>
      <rPr>
        <b/>
        <sz val="11"/>
        <color theme="1"/>
        <rFont val="Calibri"/>
        <family val="2"/>
        <scheme val="minor"/>
      </rPr>
      <t>if removed</t>
    </r>
  </si>
  <si>
    <r>
      <t>Altitude</t>
    </r>
    <r>
      <rPr>
        <vertAlign val="subscript"/>
        <sz val="9"/>
        <color theme="1"/>
        <rFont val="Calibri"/>
        <family val="2"/>
        <scheme val="minor"/>
      </rPr>
      <t>QNH</t>
    </r>
    <r>
      <rPr>
        <sz val="11"/>
        <color theme="1"/>
        <rFont val="Calibri"/>
        <family val="2"/>
        <scheme val="minor"/>
      </rPr>
      <t>:</t>
    </r>
  </si>
  <si>
    <t>ft</t>
  </si>
  <si>
    <r>
      <t>Removable collective(-1)</t>
    </r>
    <r>
      <rPr>
        <b/>
        <sz val="11"/>
        <color theme="1"/>
        <rFont val="Calibri"/>
        <family val="2"/>
        <scheme val="minor"/>
      </rPr>
      <t>if removed</t>
    </r>
  </si>
  <si>
    <t>QNH:</t>
  </si>
  <si>
    <t>hPa</t>
  </si>
  <si>
    <r>
      <t>Removable pedals(-0.8)i</t>
    </r>
    <r>
      <rPr>
        <b/>
        <sz val="11"/>
        <color theme="1"/>
        <rFont val="Calibri"/>
        <family val="2"/>
        <scheme val="minor"/>
      </rPr>
      <t>f removed</t>
    </r>
  </si>
  <si>
    <t>QFE:</t>
  </si>
  <si>
    <t>total (ZFM)</t>
  </si>
  <si>
    <t>DA</t>
  </si>
  <si>
    <t>=</t>
  </si>
  <si>
    <t>PA</t>
  </si>
  <si>
    <t>QNH</t>
  </si>
  <si>
    <t>Performances</t>
  </si>
  <si>
    <t>Final Reserve Main Tank</t>
  </si>
  <si>
    <r>
      <t>AltMax</t>
    </r>
    <r>
      <rPr>
        <vertAlign val="subscript"/>
        <sz val="9"/>
        <color theme="1"/>
        <rFont val="Calibri"/>
        <family val="2"/>
        <scheme val="minor"/>
      </rPr>
      <t>QNH</t>
    </r>
    <r>
      <rPr>
        <sz val="9"/>
        <color theme="1"/>
        <rFont val="Calibri"/>
        <family val="2"/>
        <scheme val="minor"/>
      </rPr>
      <t xml:space="preserve"> </t>
    </r>
    <r>
      <rPr>
        <b/>
        <sz val="11"/>
        <color theme="4" tint="-0.249977111117893"/>
        <rFont val="Calibri"/>
        <family val="2"/>
        <scheme val="minor"/>
      </rPr>
      <t>HIGE</t>
    </r>
    <r>
      <rPr>
        <sz val="11"/>
        <color theme="1"/>
        <rFont val="Calibri"/>
        <family val="2"/>
        <scheme val="minor"/>
      </rPr>
      <t>:</t>
    </r>
  </si>
  <si>
    <t>Final Reserve Aux. Tank</t>
  </si>
  <si>
    <r>
      <t>AltMax</t>
    </r>
    <r>
      <rPr>
        <vertAlign val="subscript"/>
        <sz val="9"/>
        <color theme="1"/>
        <rFont val="Calibri"/>
        <family val="2"/>
        <scheme val="minor"/>
      </rPr>
      <t>QNH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5" tint="-0.249977111117893"/>
        <rFont val="Calibri"/>
        <family val="2"/>
        <scheme val="minor"/>
      </rPr>
      <t>HOGE</t>
    </r>
    <r>
      <rPr>
        <sz val="11"/>
        <color theme="1"/>
        <rFont val="Calibri"/>
        <family val="2"/>
        <scheme val="minor"/>
      </rPr>
      <t>:</t>
    </r>
  </si>
  <si>
    <t>Landing Mass</t>
  </si>
  <si>
    <t>Manifold pressure &amp; VNE</t>
  </si>
  <si>
    <t>PA:</t>
  </si>
  <si>
    <t>HOGE</t>
  </si>
  <si>
    <t>HIGE</t>
  </si>
  <si>
    <t>Main Fuel tank</t>
  </si>
  <si>
    <t>MCP [in]:</t>
  </si>
  <si>
    <t>Aux. Fuel tank</t>
  </si>
  <si>
    <t>MTP [in]:</t>
  </si>
  <si>
    <t>Total (AUM)</t>
  </si>
  <si>
    <r>
      <t>VNE [kt</t>
    </r>
    <r>
      <rPr>
        <vertAlign val="subscript"/>
        <sz val="11"/>
        <color theme="1"/>
        <rFont val="Calibri"/>
        <family val="2"/>
        <scheme val="minor"/>
      </rPr>
      <t>IAS</t>
    </r>
    <r>
      <rPr>
        <sz val="11"/>
        <color theme="1"/>
        <rFont val="Calibri"/>
        <family val="2"/>
        <scheme val="minor"/>
      </rPr>
      <t>]:</t>
    </r>
  </si>
  <si>
    <t>Usable Fuel</t>
  </si>
  <si>
    <t>[USG]</t>
  </si>
  <si>
    <t>&lt;=Select unit</t>
  </si>
  <si>
    <t>Trip</t>
  </si>
  <si>
    <t>h</t>
  </si>
  <si>
    <t>min</t>
  </si>
  <si>
    <t xml:space="preserve">Main Fuel tank </t>
  </si>
  <si>
    <t>Groundspeed</t>
  </si>
  <si>
    <t>[kts]</t>
  </si>
  <si>
    <t>[km/h]</t>
  </si>
  <si>
    <t>Final Reserve</t>
  </si>
  <si>
    <t>Fuel flow</t>
  </si>
  <si>
    <t>Endurance</t>
  </si>
  <si>
    <t>Planned Trip</t>
  </si>
  <si>
    <t>[min]</t>
  </si>
  <si>
    <t>[NM]</t>
  </si>
  <si>
    <t>Trip Fuel</t>
  </si>
  <si>
    <t>[l]</t>
  </si>
  <si>
    <t>Total Usable Fuel in tanks</t>
  </si>
  <si>
    <t>Final reserve fuel</t>
  </si>
  <si>
    <t>Maximum per seat including baggage compartment 240 lbs (109 kg).</t>
  </si>
  <si>
    <t>↖</t>
  </si>
  <si>
    <t>Report Take off fuel from B</t>
  </si>
  <si>
    <t>Take Off Fuel</t>
  </si>
  <si>
    <t>Maximum in either baggage compartment is 50 lbs (23 kg).</t>
  </si>
  <si>
    <t>IMPORTANT: This table is a result of a personal interpretation of the AFM and will never replace the manual, if any doubt appear refer to the AFM!!</t>
  </si>
  <si>
    <t xml:space="preserve">Minimum solo pilot plus baggage weight with doors installed is 130 lbs (59kg) with standard fuel or 135 lbs (61kg) with aux fuel </t>
  </si>
  <si>
    <t>Lieu et date:</t>
  </si>
  <si>
    <t>, le</t>
  </si>
  <si>
    <t>unless a weight and balance computation shows CG is within limits. Ballast may be required.</t>
  </si>
  <si>
    <t>Rempli par:</t>
  </si>
  <si>
    <t xml:space="preserve"> Manual</t>
  </si>
  <si>
    <r>
      <t>First step - Compute the briefing from skybriefing or else to get all the environnementals informations you need to fill this table (QNH, QFE, OAT AD, OAT 10 000 [ft],…)</t>
    </r>
    <r>
      <rPr>
        <sz val="11"/>
        <color theme="4" tint="-0.249977111117893"/>
        <rFont val="Calibri"/>
        <family val="2"/>
        <scheme val="minor"/>
      </rPr>
      <t>*</t>
    </r>
    <r>
      <rPr>
        <vertAlign val="superscript"/>
        <sz val="11"/>
        <color theme="4" tint="-0.249977111117893"/>
        <rFont val="Calibri"/>
        <family val="2"/>
        <scheme val="minor"/>
      </rPr>
      <t>1</t>
    </r>
  </si>
  <si>
    <r>
      <t xml:space="preserve">Second step - Select weight unit in </t>
    </r>
    <r>
      <rPr>
        <sz val="11"/>
        <color theme="9" tint="-0.249977111117893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and volume unit in </t>
    </r>
    <r>
      <rPr>
        <sz val="11"/>
        <color theme="9" tint="-0.249977111117893"/>
        <rFont val="Calibri"/>
        <family val="2"/>
        <scheme val="minor"/>
      </rPr>
      <t xml:space="preserve">C </t>
    </r>
    <r>
      <rPr>
        <sz val="11"/>
        <color theme="1"/>
        <rFont val="Calibri"/>
        <family val="2"/>
        <scheme val="minor"/>
      </rPr>
      <t xml:space="preserve">and fill all the green boxes with your flight informations (W&amp;B,Temp, Time, fuel from </t>
    </r>
    <r>
      <rPr>
        <sz val="11"/>
        <color theme="9" tint="-0.249977111117893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to </t>
    </r>
    <r>
      <rPr>
        <sz val="11"/>
        <color theme="9" tint="-0.249977111117893"/>
        <rFont val="Calibri"/>
        <family val="2"/>
        <scheme val="minor"/>
      </rPr>
      <t>D</t>
    </r>
    <r>
      <rPr>
        <sz val="11"/>
        <color rgb="FFFF0000"/>
        <rFont val="Calibri"/>
        <family val="2"/>
        <scheme val="minor"/>
      </rPr>
      <t>*</t>
    </r>
    <r>
      <rPr>
        <vertAlign val="superscript"/>
        <sz val="11"/>
        <color rgb="FFFF0000"/>
        <rFont val="Calibri"/>
        <family val="2"/>
        <scheme val="minor"/>
      </rPr>
      <t>2</t>
    </r>
  </si>
  <si>
    <t>Select unit</t>
  </si>
  <si>
    <t>Third step - Read and check the table results and refer to AFM as required.</t>
  </si>
  <si>
    <t>Fourth step - Enjoy your flight!!</t>
  </si>
  <si>
    <r>
      <t>*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After filled both OAT green boxes into the </t>
    </r>
    <r>
      <rPr>
        <sz val="11"/>
        <color theme="9" tint="-0.249977111117893"/>
        <rFont val="Calibri"/>
        <family val="2"/>
        <scheme val="minor"/>
      </rPr>
      <t xml:space="preserve">D </t>
    </r>
    <r>
      <rPr>
        <sz val="11"/>
        <color theme="1"/>
        <rFont val="Calibri"/>
        <family val="2"/>
        <scheme val="minor"/>
      </rPr>
      <t xml:space="preserve">section; An Δtemp.ISA[°C] displayed at AD altitude lower than an Δtemp.ISA[°C] displayed at 10 000 [ft] means temperature inversion layer is present in the atmosphere. 
</t>
    </r>
  </si>
  <si>
    <t xml:space="preserve">      In that case the performance datas displayed are calculated on the less favorable temperature deviation from ISA between AD and 10'000 [ft]</t>
  </si>
  <si>
    <r>
      <t>*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If you don't know the QFE, let the case at 0 [hPa] and a constant value of 27 [ft/hPa] will be apply for QNH altitude calculation, if you know it fill the case and the calculation will be more accurate.</t>
    </r>
  </si>
  <si>
    <t>Weight translater:</t>
  </si>
  <si>
    <t>kg</t>
  </si>
  <si>
    <t>lbs</t>
  </si>
  <si>
    <t>Power limitations calculator</t>
  </si>
  <si>
    <t>For PA altitude:</t>
  </si>
  <si>
    <t>And temperature:</t>
  </si>
  <si>
    <t>MCP:</t>
  </si>
  <si>
    <t>IN. HG</t>
  </si>
  <si>
    <t>MTP:</t>
  </si>
  <si>
    <t>VNE limitation calculator</t>
  </si>
  <si>
    <t>VNE :</t>
  </si>
  <si>
    <t>KIAS</t>
  </si>
  <si>
    <t>Checklist Preflight MOU R22 Beta II</t>
  </si>
  <si>
    <r>
      <rPr>
        <sz val="8"/>
        <color theme="1" tint="0.499984740745262"/>
        <rFont val="Calibri"/>
        <family val="2"/>
        <scheme val="minor"/>
      </rPr>
      <t>©</t>
    </r>
    <r>
      <rPr>
        <i/>
        <sz val="8"/>
        <color theme="1" tint="0.499984740745262"/>
        <rFont val="Calibri"/>
        <family val="2"/>
        <scheme val="minor"/>
      </rPr>
      <t>Jérôme Lovey</t>
    </r>
  </si>
  <si>
    <t>Limitations</t>
  </si>
  <si>
    <t>Report preflight</t>
  </si>
  <si>
    <t>∆ISA 10'000 ft</t>
  </si>
  <si>
    <t>QNH [hPa]</t>
  </si>
  <si>
    <t>[°C]</t>
  </si>
  <si>
    <t>Start</t>
  </si>
  <si>
    <t>30'</t>
  </si>
  <si>
    <t>60'</t>
  </si>
  <si>
    <t>90'</t>
  </si>
  <si>
    <t>120'</t>
  </si>
  <si>
    <t>150'</t>
  </si>
  <si>
    <t>180'</t>
  </si>
  <si>
    <r>
      <t>HOGE</t>
    </r>
    <r>
      <rPr>
        <b/>
        <i/>
        <u/>
        <vertAlign val="subscript"/>
        <sz val="11"/>
        <color theme="5" tint="-0.249977111117893"/>
        <rFont val="Calibri"/>
        <family val="2"/>
        <scheme val="minor"/>
      </rPr>
      <t>(Alt QNH)</t>
    </r>
    <r>
      <rPr>
        <b/>
        <i/>
        <u/>
        <sz val="11"/>
        <color theme="5" tint="-0.249977111117893"/>
        <rFont val="Calibri"/>
        <family val="2"/>
        <scheme val="minor"/>
      </rPr>
      <t xml:space="preserve"> [ft]</t>
    </r>
  </si>
  <si>
    <r>
      <t>OAT [°C]</t>
    </r>
    <r>
      <rPr>
        <b/>
        <i/>
        <sz val="11"/>
        <color theme="6" tint="-0.249977111117893"/>
        <rFont val="Calibri"/>
        <family val="2"/>
        <scheme val="minor"/>
      </rPr>
      <t>*</t>
    </r>
  </si>
  <si>
    <t>Fuel Qty. [USG]/[%]</t>
  </si>
  <si>
    <t>AUM [kg]</t>
  </si>
  <si>
    <r>
      <t xml:space="preserve">*OAT expected at HOGE level, referred to </t>
    </r>
    <r>
      <rPr>
        <b/>
        <i/>
        <sz val="8"/>
        <color theme="6" tint="-0.249977111117893"/>
        <rFont val="Calibri"/>
        <family val="2"/>
      </rPr>
      <t>∆ ISA at 10'000 [ft]</t>
    </r>
  </si>
  <si>
    <t>True Altitude</t>
  </si>
  <si>
    <t>Place:</t>
  </si>
  <si>
    <t>[m]</t>
  </si>
  <si>
    <t>[ft]</t>
  </si>
  <si>
    <t>[hPa]</t>
  </si>
  <si>
    <t>If altimeter read place altitude:</t>
  </si>
  <si>
    <t>True Altitude:</t>
  </si>
  <si>
    <t>Specific Helicopter data to check and fill 'Green' before the first use of the calculation table</t>
  </si>
  <si>
    <t>Type hélicoptère:</t>
  </si>
  <si>
    <t>R22</t>
  </si>
  <si>
    <t>Fabricant:</t>
  </si>
  <si>
    <t>Robinson</t>
  </si>
  <si>
    <t>Modèle:</t>
  </si>
  <si>
    <t>Beta II</t>
  </si>
  <si>
    <t>N°série:</t>
  </si>
  <si>
    <t>SN3389</t>
  </si>
  <si>
    <t>Immatriculation:</t>
  </si>
  <si>
    <t>HB-ZEM</t>
  </si>
  <si>
    <t>Fuel tanks</t>
  </si>
  <si>
    <t>Without</t>
  </si>
  <si>
    <t>bladders</t>
  </si>
  <si>
    <t>BEM:</t>
  </si>
  <si>
    <t>[lbs]</t>
  </si>
  <si>
    <t>longitudinal Arm:</t>
  </si>
  <si>
    <t>[in]</t>
  </si>
  <si>
    <t>Lateral Arm:</t>
  </si>
  <si>
    <t>Conversion unit to check and fill 'Green' before the first use of the calculation table</t>
  </si>
  <si>
    <t>1 [kts]</t>
  </si>
  <si>
    <t>1[m]</t>
  </si>
  <si>
    <t>1 [lbs]</t>
  </si>
  <si>
    <t>1 [kg]</t>
  </si>
  <si>
    <t>1 [USG]</t>
  </si>
  <si>
    <t>Fuel Flow</t>
  </si>
  <si>
    <t>[USG/h]</t>
  </si>
  <si>
    <t>[l/h]</t>
  </si>
  <si>
    <t>1 [USG] Avgas</t>
  </si>
  <si>
    <t>1 [l] Avgas</t>
  </si>
  <si>
    <t>Calibration variable for performance calculation</t>
  </si>
  <si>
    <t>Constant ∆h for QFE=0:</t>
  </si>
  <si>
    <t>[ft/hPa]</t>
  </si>
  <si>
    <t>Performances calibration:</t>
  </si>
  <si>
    <t>∆ [ft]</t>
  </si>
  <si>
    <t>Weight &amp; Balance Data</t>
  </si>
  <si>
    <t>!! Don't touch this area !!</t>
  </si>
  <si>
    <t>ZFM</t>
  </si>
  <si>
    <t>TOF fuel MT mass</t>
  </si>
  <si>
    <t>TOF fuel AT mass</t>
  </si>
  <si>
    <t>F.Res. Fuel mass MT</t>
  </si>
  <si>
    <t>F.Res. Fuel mass AT</t>
  </si>
  <si>
    <t>AUM</t>
  </si>
  <si>
    <t>Fuel Volume</t>
  </si>
  <si>
    <t>TOFfuel MT</t>
  </si>
  <si>
    <t>TOFfuel AT</t>
  </si>
  <si>
    <t>Fuel Tanks Type</t>
  </si>
  <si>
    <t>MT</t>
  </si>
  <si>
    <t>AT</t>
  </si>
  <si>
    <t>Trip fuel</t>
  </si>
  <si>
    <t>Fin.Res. fuel</t>
  </si>
  <si>
    <t>W&amp;B Graphs</t>
  </si>
  <si>
    <t>Longitudinal</t>
  </si>
  <si>
    <t>Latéral</t>
  </si>
  <si>
    <t>x</t>
  </si>
  <si>
    <t>y</t>
  </si>
  <si>
    <t>Main rotor line</t>
  </si>
  <si>
    <t>longitudinal</t>
  </si>
  <si>
    <t>latéral</t>
  </si>
  <si>
    <t>PreFlightMOU</t>
  </si>
  <si>
    <t>HOGE - ISA 0</t>
  </si>
  <si>
    <t>Renvois première page</t>
  </si>
  <si>
    <t>Référence</t>
  </si>
  <si>
    <t>mesures</t>
  </si>
  <si>
    <t>Tim Tuckers</t>
  </si>
  <si>
    <t>AUM [lbs]</t>
  </si>
  <si>
    <t>Alt AD [ft]</t>
  </si>
  <si>
    <t>OAT AD [°C]</t>
  </si>
  <si>
    <t>OAT 10000ft[°C]</t>
  </si>
  <si>
    <t>QFE [hPa]</t>
  </si>
  <si>
    <t>PerCal. ∆[ft]</t>
  </si>
  <si>
    <r>
      <t>0</t>
    </r>
    <r>
      <rPr>
        <i/>
        <vertAlign val="subscript"/>
        <sz val="10"/>
        <color theme="1"/>
        <rFont val="Calibri"/>
        <family val="2"/>
        <scheme val="minor"/>
      </rPr>
      <t>QFE</t>
    </r>
    <r>
      <rPr>
        <i/>
        <sz val="10"/>
        <color theme="1"/>
        <rFont val="Calibri"/>
        <family val="2"/>
        <scheme val="minor"/>
      </rPr>
      <t>[</t>
    </r>
    <r>
      <rPr>
        <i/>
        <sz val="11"/>
        <color theme="1"/>
        <rFont val="Calibri"/>
        <family val="2"/>
        <scheme val="minor"/>
      </rPr>
      <t>ft/hPa]</t>
    </r>
  </si>
  <si>
    <t>Masse [lbs]</t>
  </si>
  <si>
    <t>Altitude[ft]</t>
  </si>
  <si>
    <t>Calcul altitude max. HOGE</t>
  </si>
  <si>
    <t>Courbe plate:</t>
  </si>
  <si>
    <t>Temp. OAT aérodrome:</t>
  </si>
  <si>
    <t>OAT 10'000 ft</t>
  </si>
  <si>
    <r>
      <t xml:space="preserve">variation </t>
    </r>
    <r>
      <rPr>
        <sz val="11"/>
        <color theme="1"/>
        <rFont val="Calibri"/>
        <family val="2"/>
      </rPr>
      <t>±</t>
    </r>
  </si>
  <si>
    <t>ft pour ±1° ISA</t>
  </si>
  <si>
    <t>Temp. ISA du jour:</t>
  </si>
  <si>
    <t>ISA du jour</t>
  </si>
  <si>
    <t xml:space="preserve">Mesures: </t>
  </si>
  <si>
    <t>f(x) ≈ (-19.6067) • x + 33'518.1</t>
  </si>
  <si>
    <t>±55.88 ft/°ISA</t>
  </si>
  <si>
    <r>
      <t xml:space="preserve">Contrôle si 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ISA positif</t>
    </r>
  </si>
  <si>
    <r>
      <t xml:space="preserve">Contrôle si 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ISA est nul</t>
    </r>
  </si>
  <si>
    <r>
      <t xml:space="preserve">Contrôle si 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ISA négatif</t>
    </r>
  </si>
  <si>
    <t xml:space="preserve">TimTuckers: </t>
  </si>
  <si>
    <t>f(x) ≈ (-23.2889) • x + 37'704.6</t>
  </si>
  <si>
    <t>±52 ft/°ISA</t>
  </si>
  <si>
    <t>Courbe raide:</t>
  </si>
  <si>
    <t>Emplacement cassure courbe</t>
  </si>
  <si>
    <t>Mesures:</t>
  </si>
  <si>
    <t>f(x) ≈ (-81.652) • x + 116'969</t>
  </si>
  <si>
    <t>±111.7 ft/°ISA</t>
  </si>
  <si>
    <t>TimTuckers:</t>
  </si>
  <si>
    <t>f(x) ≈ (-73.32) • x + 104'996</t>
  </si>
  <si>
    <t>±88.8 ft/°ISA</t>
  </si>
  <si>
    <t>masse≤cassure</t>
  </si>
  <si>
    <t>masse&gt;cassure</t>
  </si>
  <si>
    <r>
      <t>masse</t>
    </r>
    <r>
      <rPr>
        <sz val="11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>1345</t>
    </r>
  </si>
  <si>
    <t>1345&lt;masse&lt;cassure</t>
  </si>
  <si>
    <t>Point de cassure en lbs:</t>
  </si>
  <si>
    <r>
      <t xml:space="preserve">Variation </t>
    </r>
    <r>
      <rPr>
        <sz val="11"/>
        <color theme="1"/>
        <rFont val="Calibri"/>
        <family val="2"/>
      </rPr>
      <t>±</t>
    </r>
  </si>
  <si>
    <t>lbs pour ±1° ISA</t>
  </si>
  <si>
    <r>
      <t xml:space="preserve">f(x) </t>
    </r>
    <r>
      <rPr>
        <sz val="11"/>
        <color theme="1"/>
        <rFont val="Calibri"/>
        <family val="2"/>
      </rPr>
      <t xml:space="preserve">≈ 62.3005 </t>
    </r>
    <r>
      <rPr>
        <sz val="8"/>
        <color theme="1"/>
        <rFont val="Calibri"/>
        <family val="2"/>
      </rPr>
      <t>•</t>
    </r>
    <r>
      <rPr>
        <sz val="11"/>
        <color theme="1"/>
        <rFont val="Calibri"/>
        <family val="2"/>
      </rPr>
      <t xml:space="preserve"> x -76'845.9 (x = masse)</t>
    </r>
  </si>
  <si>
    <t>Altitude max</t>
  </si>
  <si>
    <t>Altitude max.</t>
  </si>
  <si>
    <t>Plafond max HOGE sans correction QNH:</t>
  </si>
  <si>
    <t>Alt. QNH</t>
  </si>
  <si>
    <t>Plafond Max HOGE avec correction QNH:</t>
  </si>
  <si>
    <r>
      <t xml:space="preserve">(Variation  [ft/hPa] = </t>
    </r>
    <r>
      <rPr>
        <sz val="11"/>
        <color theme="1"/>
        <rFont val="Calibri"/>
        <family val="2"/>
      </rPr>
      <t>96*T/p)</t>
    </r>
  </si>
  <si>
    <t>∆h=</t>
  </si>
  <si>
    <t>PreFlight MOU Calculation</t>
  </si>
  <si>
    <t>Calcul altitude max. HOGE -30'</t>
  </si>
  <si>
    <t>Calcul altitude max. HOGE -60'</t>
  </si>
  <si>
    <t>Calcul altitude max. HOGE -90'</t>
  </si>
  <si>
    <t>Calcul altitude max. HOGE -120'</t>
  </si>
  <si>
    <t>Calcul altitude max. HOGE -150'</t>
  </si>
  <si>
    <t>Calcul altitude max. HOGE -180'</t>
  </si>
  <si>
    <t>HIGE - ISA 0</t>
  </si>
  <si>
    <t>Calcul altitude max. HIGE</t>
  </si>
  <si>
    <t>Courbe:</t>
  </si>
  <si>
    <t>Temp. ISA aérodrome:</t>
  </si>
  <si>
    <t>f(x) ≈ (-20.225) • x + 37'132.3</t>
  </si>
  <si>
    <t>±60.61ft/°ISA</t>
  </si>
  <si>
    <t>f(x) ≈ (-21.2) • x + 37'450</t>
  </si>
  <si>
    <t>±55.95ft/°ISA</t>
  </si>
  <si>
    <t>Altitude aérodrome arrondie:</t>
  </si>
  <si>
    <t>N° de colonne:</t>
  </si>
  <si>
    <t>Altitude maximale HOGE arrondie:</t>
  </si>
  <si>
    <t>Altitude maximale HIGE arrondie:</t>
  </si>
  <si>
    <t>Preflight MOU, 5000 [ft]:</t>
  </si>
  <si>
    <t>Preflight MOU, 10000 [ft]:</t>
  </si>
  <si>
    <t>MCP</t>
  </si>
  <si>
    <t>OAT [°C]</t>
  </si>
  <si>
    <t>Interpolation du tableu du manuel de vol</t>
  </si>
  <si>
    <t>P.ALT [ft]</t>
  </si>
  <si>
    <t>Full Throttle</t>
  </si>
  <si>
    <t>Over Limit</t>
  </si>
  <si>
    <t>interpolation approximative</t>
  </si>
  <si>
    <t>PreFlightMOU 5000 [ft]:</t>
  </si>
  <si>
    <t>PreFlightMOU 10000 [ft]:</t>
  </si>
  <si>
    <t>VNE</t>
  </si>
  <si>
    <t>NO FLIGHT</t>
  </si>
  <si>
    <t>AD,∆ ISA [°C]</t>
  </si>
  <si>
    <t>10000ft,∆ISA[°C]</t>
  </si>
  <si>
    <t>∆h [ft/hPa]</t>
  </si>
  <si>
    <t>N°Col. [-]</t>
  </si>
  <si>
    <t>10000ft,N°Col.[-]</t>
  </si>
  <si>
    <t>Operating ceiling</t>
  </si>
  <si>
    <t>Altimètre</t>
  </si>
  <si>
    <t>14000 ft DA</t>
  </si>
  <si>
    <t>DA [ft]</t>
  </si>
  <si>
    <t>∆ ISA [°C]</t>
  </si>
  <si>
    <t>+35</t>
  </si>
  <si>
    <t>+34</t>
  </si>
  <si>
    <t>+33</t>
  </si>
  <si>
    <t>+32</t>
  </si>
  <si>
    <t>+31</t>
  </si>
  <si>
    <t>+30</t>
  </si>
  <si>
    <t>+29</t>
  </si>
  <si>
    <t>+28</t>
  </si>
  <si>
    <t>+27</t>
  </si>
  <si>
    <t>+26</t>
  </si>
  <si>
    <t>+25</t>
  </si>
  <si>
    <t>+24</t>
  </si>
  <si>
    <t>+23</t>
  </si>
  <si>
    <t>+22</t>
  </si>
  <si>
    <t>+21</t>
  </si>
  <si>
    <t>+20</t>
  </si>
  <si>
    <t>+19</t>
  </si>
  <si>
    <t>+18</t>
  </si>
  <si>
    <t>+17</t>
  </si>
  <si>
    <t>+16</t>
  </si>
  <si>
    <t>+15</t>
  </si>
  <si>
    <t>+14</t>
  </si>
  <si>
    <t>+13</t>
  </si>
  <si>
    <t>+12</t>
  </si>
  <si>
    <t>+11</t>
  </si>
  <si>
    <t>+10</t>
  </si>
  <si>
    <t>+9</t>
  </si>
  <si>
    <t>+8</t>
  </si>
  <si>
    <t>+7</t>
  </si>
  <si>
    <t>+6</t>
  </si>
  <si>
    <t>+5</t>
  </si>
  <si>
    <t>+4</t>
  </si>
  <si>
    <t>+3</t>
  </si>
  <si>
    <t>+2</t>
  </si>
  <si>
    <t>+1</t>
  </si>
  <si>
    <t>+0</t>
  </si>
  <si>
    <t>-1</t>
  </si>
  <si>
    <t>-2</t>
  </si>
  <si>
    <t>-3</t>
  </si>
  <si>
    <t>-4</t>
  </si>
  <si>
    <t>-5</t>
  </si>
  <si>
    <t>-6</t>
  </si>
  <si>
    <t>-7</t>
  </si>
  <si>
    <t>-8</t>
  </si>
  <si>
    <t>-9</t>
  </si>
  <si>
    <t>-10</t>
  </si>
  <si>
    <t>-11</t>
  </si>
  <si>
    <t>-12</t>
  </si>
  <si>
    <t>-13</t>
  </si>
  <si>
    <t>-14</t>
  </si>
  <si>
    <t>-15</t>
  </si>
  <si>
    <t>-16</t>
  </si>
  <si>
    <t>-17</t>
  </si>
  <si>
    <t>-18</t>
  </si>
  <si>
    <t>-19</t>
  </si>
  <si>
    <t>-20</t>
  </si>
  <si>
    <t>-21</t>
  </si>
  <si>
    <t>-22</t>
  </si>
  <si>
    <t>-23</t>
  </si>
  <si>
    <t>-24</t>
  </si>
  <si>
    <t>-25</t>
  </si>
  <si>
    <t>-26</t>
  </si>
  <si>
    <t>-27</t>
  </si>
  <si>
    <t>-28</t>
  </si>
  <si>
    <t>-29</t>
  </si>
  <si>
    <t>-30</t>
  </si>
  <si>
    <t>-31</t>
  </si>
  <si>
    <t>-32</t>
  </si>
  <si>
    <t>-33</t>
  </si>
  <si>
    <t>-34</t>
  </si>
  <si>
    <t>-35</t>
  </si>
  <si>
    <t>-36</t>
  </si>
  <si>
    <t>-37</t>
  </si>
  <si>
    <t>-38</t>
  </si>
  <si>
    <t>-39</t>
  </si>
  <si>
    <t>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</si>
</sst>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00"/>
  </numFmts>
  <fonts count="70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</font>
    <font>
      <i/>
      <u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/>
      <sz val="11"/>
      <color rgb="FFC0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0"/>
      <name val="Calibri"/>
      <family val="2"/>
      <scheme val="minor"/>
    </font>
    <font>
      <i/>
      <vertAlign val="subscript"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bscript"/>
      <sz val="9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</font>
    <font>
      <i/>
      <sz val="8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b/>
      <i/>
      <sz val="11"/>
      <color theme="2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9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4"/>
      <color theme="1" tint="0.499984740745262"/>
      <name val="Calibri"/>
      <family val="2"/>
      <scheme val="minor"/>
    </font>
    <font>
      <b/>
      <i/>
      <sz val="14"/>
      <color theme="1" tint="0.499984740745262"/>
      <name val="Calibri"/>
      <family val="2"/>
      <scheme val="minor"/>
    </font>
    <font>
      <b/>
      <i/>
      <sz val="11"/>
      <color theme="9"/>
      <name val="Calibri"/>
      <family val="2"/>
      <scheme val="minor"/>
    </font>
    <font>
      <b/>
      <i/>
      <u/>
      <sz val="11"/>
      <color theme="5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u/>
      <sz val="11"/>
      <color theme="6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u/>
      <sz val="11"/>
      <color theme="2" tint="-0.499984740745262"/>
      <name val="Calibri"/>
      <family val="2"/>
      <scheme val="minor"/>
    </font>
    <font>
      <b/>
      <i/>
      <u/>
      <sz val="11"/>
      <color theme="4" tint="-0.249977111117893"/>
      <name val="Calibri"/>
      <family val="2"/>
      <scheme val="minor"/>
    </font>
    <font>
      <b/>
      <i/>
      <u/>
      <sz val="11"/>
      <color theme="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 tint="-0.499984740745262"/>
      <name val="Calibri"/>
      <family val="2"/>
      <scheme val="minor"/>
    </font>
    <font>
      <b/>
      <i/>
      <sz val="11"/>
      <color theme="9" tint="-0.249977111117893"/>
      <name val="Calibri"/>
      <family val="2"/>
    </font>
    <font>
      <b/>
      <i/>
      <sz val="10"/>
      <color rgb="FFC0000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vertAlign val="superscript"/>
      <sz val="11"/>
      <color theme="4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vertAlign val="superscript"/>
      <sz val="11"/>
      <color rgb="FFFF0000"/>
      <name val="Calibri"/>
      <family val="2"/>
      <scheme val="minor"/>
    </font>
    <font>
      <b/>
      <i/>
      <sz val="9"/>
      <color theme="4" tint="-0.249977111117893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i/>
      <sz val="8"/>
      <color theme="1" tint="0.499984740745262"/>
      <name val="Calibri"/>
      <family val="2"/>
      <scheme val="minor"/>
    </font>
    <font>
      <sz val="11"/>
      <color theme="3" tint="-0.249977111117893"/>
      <name val="Brush Script MT"/>
      <family val="4"/>
    </font>
    <font>
      <b/>
      <i/>
      <u/>
      <sz val="14"/>
      <color theme="0" tint="-0.499984740745262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b/>
      <i/>
      <sz val="11"/>
      <color theme="4" tint="-0.499984740745262"/>
      <name val="Calibri"/>
      <family val="2"/>
      <scheme val="minor"/>
    </font>
    <font>
      <b/>
      <i/>
      <u/>
      <sz val="11"/>
      <name val="Calibri"/>
      <family val="2"/>
      <scheme val="minor"/>
    </font>
    <font>
      <sz val="11"/>
      <color theme="4" tint="-0.249977111117893"/>
      <name val="Brush Script MT"/>
      <family val="4"/>
    </font>
    <font>
      <b/>
      <i/>
      <sz val="14"/>
      <color theme="0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6" tint="-0.499984740745262"/>
      <name val="Calibri"/>
      <family val="2"/>
      <scheme val="minor"/>
    </font>
    <font>
      <b/>
      <i/>
      <u/>
      <vertAlign val="subscript"/>
      <sz val="11"/>
      <color theme="5" tint="-0.249977111117893"/>
      <name val="Calibri"/>
      <family val="2"/>
      <scheme val="minor"/>
    </font>
    <font>
      <b/>
      <i/>
      <sz val="8"/>
      <color theme="6" tint="-0.249977111117893"/>
      <name val="Calibri"/>
      <family val="2"/>
      <scheme val="minor"/>
    </font>
    <font>
      <b/>
      <i/>
      <sz val="8"/>
      <color theme="6" tint="-0.249977111117893"/>
      <name val="Calibri"/>
      <family val="2"/>
    </font>
    <font>
      <b/>
      <i/>
      <sz val="11"/>
      <color theme="6" tint="-0.249977111117893"/>
      <name val="Calibri"/>
      <family val="2"/>
      <scheme val="minor"/>
    </font>
    <font>
      <b/>
      <i/>
      <u/>
      <sz val="11"/>
      <color theme="9" tint="-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D8594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16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dashDot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87">
    <xf numFmtId="0" fontId="0" fillId="0" borderId="0" xfId="0"/>
    <xf numFmtId="0" fontId="0" fillId="4" borderId="6" xfId="0" applyFill="1" applyBorder="1"/>
    <xf numFmtId="0" fontId="0" fillId="0" borderId="2" xfId="0" applyBorder="1"/>
    <xf numFmtId="0" fontId="0" fillId="0" borderId="42" xfId="0" applyBorder="1"/>
    <xf numFmtId="0" fontId="0" fillId="0" borderId="36" xfId="0" applyBorder="1"/>
    <xf numFmtId="0" fontId="0" fillId="0" borderId="12" xfId="0" applyBorder="1"/>
    <xf numFmtId="0" fontId="0" fillId="0" borderId="13" xfId="0" applyBorder="1"/>
    <xf numFmtId="165" fontId="0" fillId="0" borderId="0" xfId="0" applyNumberFormat="1"/>
    <xf numFmtId="0" fontId="0" fillId="0" borderId="44" xfId="0" applyBorder="1"/>
    <xf numFmtId="0" fontId="0" fillId="0" borderId="45" xfId="0" applyBorder="1"/>
    <xf numFmtId="0" fontId="0" fillId="0" borderId="43" xfId="0" applyBorder="1"/>
    <xf numFmtId="0" fontId="0" fillId="0" borderId="10" xfId="0" applyBorder="1"/>
    <xf numFmtId="0" fontId="0" fillId="0" borderId="11" xfId="0" applyBorder="1"/>
    <xf numFmtId="0" fontId="0" fillId="0" borderId="9" xfId="0" applyBorder="1"/>
    <xf numFmtId="0" fontId="0" fillId="5" borderId="41" xfId="0" applyFill="1" applyBorder="1"/>
    <xf numFmtId="0" fontId="0" fillId="5" borderId="12" xfId="0" applyFill="1" applyBorder="1"/>
    <xf numFmtId="0" fontId="0" fillId="5" borderId="43" xfId="0" applyFill="1" applyBorder="1"/>
    <xf numFmtId="0" fontId="0" fillId="5" borderId="42" xfId="0" applyFill="1" applyBorder="1"/>
    <xf numFmtId="0" fontId="0" fillId="5" borderId="0" xfId="0" applyFill="1"/>
    <xf numFmtId="0" fontId="0" fillId="5" borderId="44" xfId="0" applyFill="1" applyBorder="1"/>
    <xf numFmtId="0" fontId="0" fillId="5" borderId="45" xfId="0" applyFill="1" applyBorder="1"/>
    <xf numFmtId="0" fontId="0" fillId="5" borderId="13" xfId="0" applyFill="1" applyBorder="1"/>
    <xf numFmtId="0" fontId="0" fillId="5" borderId="36" xfId="0" applyFill="1" applyBorder="1"/>
    <xf numFmtId="0" fontId="0" fillId="5" borderId="9" xfId="0" applyFill="1" applyBorder="1"/>
    <xf numFmtId="0" fontId="0" fillId="5" borderId="10" xfId="0" applyFill="1" applyBorder="1"/>
    <xf numFmtId="0" fontId="0" fillId="0" borderId="41" xfId="0" applyBorder="1"/>
    <xf numFmtId="0" fontId="0" fillId="0" borderId="0" xfId="0" applyAlignment="1">
      <alignment horizontal="right"/>
    </xf>
    <xf numFmtId="0" fontId="0" fillId="0" borderId="6" xfId="0" applyBorder="1"/>
    <xf numFmtId="0" fontId="0" fillId="5" borderId="6" xfId="0" applyFill="1" applyBorder="1"/>
    <xf numFmtId="0" fontId="0" fillId="3" borderId="6" xfId="0" applyFill="1" applyBorder="1"/>
    <xf numFmtId="0" fontId="3" fillId="11" borderId="6" xfId="0" applyFont="1" applyFill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48" xfId="0" applyBorder="1"/>
    <xf numFmtId="0" fontId="0" fillId="0" borderId="49" xfId="0" applyBorder="1"/>
    <xf numFmtId="0" fontId="0" fillId="0" borderId="1" xfId="0" applyBorder="1"/>
    <xf numFmtId="165" fontId="0" fillId="0" borderId="3" xfId="0" applyNumberFormat="1" applyBorder="1"/>
    <xf numFmtId="0" fontId="0" fillId="0" borderId="51" xfId="0" applyBorder="1"/>
    <xf numFmtId="165" fontId="0" fillId="0" borderId="47" xfId="0" applyNumberFormat="1" applyBorder="1"/>
    <xf numFmtId="0" fontId="0" fillId="0" borderId="5" xfId="0" applyBorder="1"/>
    <xf numFmtId="0" fontId="0" fillId="0" borderId="3" xfId="0" applyBorder="1"/>
    <xf numFmtId="0" fontId="0" fillId="0" borderId="4" xfId="0" applyBorder="1"/>
    <xf numFmtId="0" fontId="0" fillId="0" borderId="53" xfId="0" applyBorder="1"/>
    <xf numFmtId="0" fontId="0" fillId="0" borderId="54" xfId="0" applyBorder="1"/>
    <xf numFmtId="165" fontId="0" fillId="0" borderId="4" xfId="0" applyNumberFormat="1" applyBorder="1"/>
    <xf numFmtId="165" fontId="0" fillId="0" borderId="52" xfId="0" applyNumberFormat="1" applyBorder="1"/>
    <xf numFmtId="165" fontId="0" fillId="0" borderId="53" xfId="0" applyNumberFormat="1" applyBorder="1"/>
    <xf numFmtId="0" fontId="7" fillId="0" borderId="0" xfId="0" applyFont="1"/>
    <xf numFmtId="165" fontId="0" fillId="12" borderId="55" xfId="0" applyNumberFormat="1" applyFill="1" applyBorder="1"/>
    <xf numFmtId="0" fontId="0" fillId="12" borderId="56" xfId="0" applyFill="1" applyBorder="1"/>
    <xf numFmtId="0" fontId="0" fillId="13" borderId="0" xfId="0" applyFill="1" applyAlignment="1">
      <alignment horizontal="center"/>
    </xf>
    <xf numFmtId="166" fontId="0" fillId="13" borderId="0" xfId="0" applyNumberFormat="1" applyFill="1" applyAlignment="1">
      <alignment horizontal="center"/>
    </xf>
    <xf numFmtId="0" fontId="0" fillId="0" borderId="57" xfId="0" applyBorder="1"/>
    <xf numFmtId="0" fontId="0" fillId="0" borderId="58" xfId="0" applyBorder="1"/>
    <xf numFmtId="0" fontId="0" fillId="0" borderId="59" xfId="0" applyBorder="1"/>
    <xf numFmtId="0" fontId="0" fillId="0" borderId="61" xfId="0" applyBorder="1"/>
    <xf numFmtId="0" fontId="0" fillId="0" borderId="62" xfId="0" applyBorder="1"/>
    <xf numFmtId="0" fontId="0" fillId="0" borderId="64" xfId="0" applyBorder="1"/>
    <xf numFmtId="165" fontId="0" fillId="0" borderId="66" xfId="0" applyNumberFormat="1" applyBorder="1"/>
    <xf numFmtId="0" fontId="3" fillId="11" borderId="11" xfId="0" applyFont="1" applyFill="1" applyBorder="1"/>
    <xf numFmtId="0" fontId="0" fillId="0" borderId="67" xfId="0" applyBorder="1"/>
    <xf numFmtId="0" fontId="0" fillId="8" borderId="6" xfId="0" applyFill="1" applyBorder="1"/>
    <xf numFmtId="0" fontId="0" fillId="5" borderId="11" xfId="0" applyFill="1" applyBorder="1"/>
    <xf numFmtId="165" fontId="0" fillId="0" borderId="30" xfId="0" applyNumberFormat="1" applyBorder="1"/>
    <xf numFmtId="0" fontId="2" fillId="0" borderId="0" xfId="0" applyFont="1" applyAlignment="1">
      <alignment vertical="center"/>
    </xf>
    <xf numFmtId="165" fontId="0" fillId="0" borderId="2" xfId="0" applyNumberFormat="1" applyBorder="1"/>
    <xf numFmtId="0" fontId="0" fillId="0" borderId="66" xfId="0" applyBorder="1"/>
    <xf numFmtId="0" fontId="0" fillId="0" borderId="52" xfId="0" applyBorder="1"/>
    <xf numFmtId="0" fontId="0" fillId="0" borderId="69" xfId="0" applyBorder="1"/>
    <xf numFmtId="1" fontId="0" fillId="0" borderId="0" xfId="0" applyNumberFormat="1"/>
    <xf numFmtId="0" fontId="0" fillId="11" borderId="6" xfId="0" applyFill="1" applyBorder="1"/>
    <xf numFmtId="0" fontId="0" fillId="11" borderId="11" xfId="0" applyFill="1" applyBorder="1"/>
    <xf numFmtId="0" fontId="9" fillId="0" borderId="9" xfId="0" applyFont="1" applyBorder="1"/>
    <xf numFmtId="0" fontId="0" fillId="16" borderId="27" xfId="0" applyFill="1" applyBorder="1" applyAlignment="1">
      <alignment horizontal="right"/>
    </xf>
    <xf numFmtId="0" fontId="0" fillId="10" borderId="76" xfId="0" applyFill="1" applyBorder="1"/>
    <xf numFmtId="0" fontId="0" fillId="16" borderId="28" xfId="0" applyFill="1" applyBorder="1"/>
    <xf numFmtId="0" fontId="0" fillId="8" borderId="12" xfId="0" applyFill="1" applyBorder="1"/>
    <xf numFmtId="0" fontId="0" fillId="8" borderId="0" xfId="0" applyFill="1"/>
    <xf numFmtId="0" fontId="0" fillId="8" borderId="13" xfId="0" applyFill="1" applyBorder="1"/>
    <xf numFmtId="0" fontId="0" fillId="8" borderId="43" xfId="0" applyFill="1" applyBorder="1"/>
    <xf numFmtId="0" fontId="0" fillId="8" borderId="44" xfId="0" applyFill="1" applyBorder="1"/>
    <xf numFmtId="0" fontId="0" fillId="8" borderId="45" xfId="0" applyFill="1" applyBorder="1"/>
    <xf numFmtId="0" fontId="3" fillId="5" borderId="0" xfId="0" applyFont="1" applyFill="1"/>
    <xf numFmtId="0" fontId="3" fillId="0" borderId="0" xfId="0" applyFont="1"/>
    <xf numFmtId="0" fontId="3" fillId="5" borderId="44" xfId="0" applyFont="1" applyFill="1" applyBorder="1"/>
    <xf numFmtId="0" fontId="3" fillId="0" borderId="44" xfId="0" applyFont="1" applyBorder="1"/>
    <xf numFmtId="0" fontId="8" fillId="0" borderId="0" xfId="0" applyFont="1"/>
    <xf numFmtId="0" fontId="0" fillId="18" borderId="1" xfId="0" applyFill="1" applyBorder="1"/>
    <xf numFmtId="0" fontId="0" fillId="18" borderId="0" xfId="0" applyFill="1"/>
    <xf numFmtId="0" fontId="0" fillId="18" borderId="2" xfId="0" applyFill="1" applyBorder="1"/>
    <xf numFmtId="0" fontId="2" fillId="5" borderId="41" xfId="0" applyFont="1" applyFill="1" applyBorder="1"/>
    <xf numFmtId="0" fontId="2" fillId="5" borderId="12" xfId="0" applyFont="1" applyFill="1" applyBorder="1"/>
    <xf numFmtId="0" fontId="0" fillId="4" borderId="6" xfId="0" applyFill="1" applyBorder="1" applyAlignment="1">
      <alignment horizontal="center"/>
    </xf>
    <xf numFmtId="0" fontId="0" fillId="18" borderId="3" xfId="0" applyFill="1" applyBorder="1"/>
    <xf numFmtId="0" fontId="0" fillId="18" borderId="4" xfId="0" applyFill="1" applyBorder="1"/>
    <xf numFmtId="0" fontId="0" fillId="18" borderId="5" xfId="0" applyFill="1" applyBorder="1"/>
    <xf numFmtId="164" fontId="3" fillId="5" borderId="68" xfId="0" applyNumberFormat="1" applyFont="1" applyFill="1" applyBorder="1" applyAlignment="1">
      <alignment vertical="center"/>
    </xf>
    <xf numFmtId="0" fontId="0" fillId="5" borderId="13" xfId="0" applyFill="1" applyBorder="1" applyAlignment="1">
      <alignment vertical="center"/>
    </xf>
    <xf numFmtId="164" fontId="3" fillId="4" borderId="6" xfId="0" applyNumberFormat="1" applyFont="1" applyFill="1" applyBorder="1" applyAlignment="1">
      <alignment vertical="center"/>
    </xf>
    <xf numFmtId="164" fontId="3" fillId="5" borderId="0" xfId="0" applyNumberFormat="1" applyFont="1" applyFill="1" applyAlignment="1">
      <alignment vertical="center"/>
    </xf>
    <xf numFmtId="164" fontId="3" fillId="5" borderId="44" xfId="0" applyNumberFormat="1" applyFont="1" applyFill="1" applyBorder="1" applyAlignment="1">
      <alignment vertical="center"/>
    </xf>
    <xf numFmtId="0" fontId="0" fillId="5" borderId="45" xfId="0" applyFill="1" applyBorder="1" applyAlignment="1">
      <alignment vertical="center"/>
    </xf>
    <xf numFmtId="0" fontId="0" fillId="18" borderId="34" xfId="0" applyFill="1" applyBorder="1"/>
    <xf numFmtId="0" fontId="0" fillId="18" borderId="35" xfId="0" applyFill="1" applyBorder="1"/>
    <xf numFmtId="0" fontId="0" fillId="18" borderId="70" xfId="0" applyFill="1" applyBorder="1"/>
    <xf numFmtId="0" fontId="9" fillId="5" borderId="12" xfId="0" applyFont="1" applyFill="1" applyBorder="1" applyAlignment="1">
      <alignment horizontal="left" vertical="center"/>
    </xf>
    <xf numFmtId="0" fontId="9" fillId="5" borderId="12" xfId="0" applyFont="1" applyFill="1" applyBorder="1"/>
    <xf numFmtId="0" fontId="9" fillId="5" borderId="13" xfId="0" applyFont="1" applyFill="1" applyBorder="1"/>
    <xf numFmtId="0" fontId="9" fillId="5" borderId="12" xfId="0" applyFont="1" applyFill="1" applyBorder="1" applyAlignment="1">
      <alignment horizontal="left"/>
    </xf>
    <xf numFmtId="0" fontId="0" fillId="4" borderId="6" xfId="0" quotePrefix="1" applyFill="1" applyBorder="1" applyAlignment="1">
      <alignment horizontal="right"/>
    </xf>
    <xf numFmtId="2" fontId="0" fillId="4" borderId="6" xfId="0" applyNumberFormat="1" applyFill="1" applyBorder="1"/>
    <xf numFmtId="0" fontId="16" fillId="5" borderId="0" xfId="0" applyFont="1" applyFill="1"/>
    <xf numFmtId="0" fontId="1" fillId="8" borderId="6" xfId="0" applyFont="1" applyFill="1" applyBorder="1"/>
    <xf numFmtId="0" fontId="9" fillId="0" borderId="0" xfId="0" applyFont="1" applyAlignment="1">
      <alignment horizontal="left" vertical="center"/>
    </xf>
    <xf numFmtId="0" fontId="9" fillId="0" borderId="0" xfId="0" applyFont="1"/>
    <xf numFmtId="0" fontId="9" fillId="0" borderId="52" xfId="0" applyFont="1" applyBorder="1" applyAlignment="1">
      <alignment horizontal="left"/>
    </xf>
    <xf numFmtId="0" fontId="9" fillId="0" borderId="54" xfId="0" applyFont="1" applyBorder="1" applyAlignment="1">
      <alignment horizontal="left"/>
    </xf>
    <xf numFmtId="0" fontId="0" fillId="0" borderId="107" xfId="0" quotePrefix="1" applyBorder="1"/>
    <xf numFmtId="165" fontId="0" fillId="0" borderId="67" xfId="0" quotePrefix="1" applyNumberFormat="1" applyBorder="1"/>
    <xf numFmtId="0" fontId="0" fillId="0" borderId="67" xfId="0" quotePrefix="1" applyBorder="1"/>
    <xf numFmtId="0" fontId="19" fillId="8" borderId="6" xfId="0" applyFont="1" applyFill="1" applyBorder="1"/>
    <xf numFmtId="0" fontId="23" fillId="8" borderId="6" xfId="0" applyFont="1" applyFill="1" applyBorder="1"/>
    <xf numFmtId="0" fontId="24" fillId="8" borderId="6" xfId="0" applyFont="1" applyFill="1" applyBorder="1"/>
    <xf numFmtId="1" fontId="0" fillId="8" borderId="6" xfId="0" applyNumberFormat="1" applyFill="1" applyBorder="1"/>
    <xf numFmtId="0" fontId="0" fillId="0" borderId="108" xfId="0" applyBorder="1"/>
    <xf numFmtId="0" fontId="0" fillId="0" borderId="109" xfId="0" applyBorder="1"/>
    <xf numFmtId="0" fontId="0" fillId="0" borderId="110" xfId="0" applyBorder="1"/>
    <xf numFmtId="0" fontId="22" fillId="0" borderId="28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1" fontId="0" fillId="24" borderId="105" xfId="0" applyNumberFormat="1" applyFill="1" applyBorder="1" applyAlignment="1">
      <alignment horizontal="center" vertical="center"/>
    </xf>
    <xf numFmtId="1" fontId="0" fillId="24" borderId="106" xfId="0" applyNumberFormat="1" applyFill="1" applyBorder="1" applyAlignment="1">
      <alignment horizontal="center" vertical="center"/>
    </xf>
    <xf numFmtId="0" fontId="0" fillId="8" borderId="115" xfId="0" applyFill="1" applyBorder="1" applyAlignment="1">
      <alignment horizontal="center"/>
    </xf>
    <xf numFmtId="0" fontId="0" fillId="8" borderId="116" xfId="0" applyFill="1" applyBorder="1" applyAlignment="1">
      <alignment horizontal="center"/>
    </xf>
    <xf numFmtId="0" fontId="0" fillId="0" borderId="0" xfId="0" quotePrefix="1" applyAlignment="1">
      <alignment horizontal="right"/>
    </xf>
    <xf numFmtId="0" fontId="27" fillId="0" borderId="0" xfId="0" applyFont="1"/>
    <xf numFmtId="0" fontId="28" fillId="0" borderId="0" xfId="0" applyFont="1"/>
    <xf numFmtId="0" fontId="28" fillId="3" borderId="0" xfId="0" applyFont="1" applyFill="1"/>
    <xf numFmtId="0" fontId="27" fillId="8" borderId="20" xfId="0" applyFont="1" applyFill="1" applyBorder="1"/>
    <xf numFmtId="0" fontId="27" fillId="8" borderId="21" xfId="0" applyFont="1" applyFill="1" applyBorder="1" applyAlignment="1">
      <alignment horizontal="right"/>
    </xf>
    <xf numFmtId="2" fontId="28" fillId="3" borderId="11" xfId="0" applyNumberFormat="1" applyFont="1" applyFill="1" applyBorder="1"/>
    <xf numFmtId="2" fontId="28" fillId="3" borderId="19" xfId="0" applyNumberFormat="1" applyFont="1" applyFill="1" applyBorder="1"/>
    <xf numFmtId="0" fontId="28" fillId="3" borderId="35" xfId="0" applyFont="1" applyFill="1" applyBorder="1"/>
    <xf numFmtId="0" fontId="28" fillId="4" borderId="97" xfId="0" applyFont="1" applyFill="1" applyBorder="1" applyProtection="1">
      <protection locked="0"/>
    </xf>
    <xf numFmtId="0" fontId="28" fillId="3" borderId="70" xfId="0" applyFont="1" applyFill="1" applyBorder="1"/>
    <xf numFmtId="1" fontId="28" fillId="4" borderId="6" xfId="0" applyNumberFormat="1" applyFont="1" applyFill="1" applyBorder="1" applyProtection="1">
      <protection locked="0"/>
    </xf>
    <xf numFmtId="0" fontId="28" fillId="3" borderId="44" xfId="0" applyFont="1" applyFill="1" applyBorder="1"/>
    <xf numFmtId="0" fontId="28" fillId="3" borderId="49" xfId="0" applyFont="1" applyFill="1" applyBorder="1"/>
    <xf numFmtId="0" fontId="28" fillId="4" borderId="11" xfId="0" applyFont="1" applyFill="1" applyBorder="1" applyProtection="1">
      <protection locked="0"/>
    </xf>
    <xf numFmtId="0" fontId="28" fillId="10" borderId="2" xfId="0" applyFont="1" applyFill="1" applyBorder="1"/>
    <xf numFmtId="0" fontId="28" fillId="10" borderId="0" xfId="0" applyFont="1" applyFill="1"/>
    <xf numFmtId="1" fontId="28" fillId="10" borderId="0" xfId="0" applyNumberFormat="1" applyFont="1" applyFill="1"/>
    <xf numFmtId="0" fontId="28" fillId="10" borderId="37" xfId="0" applyFont="1" applyFill="1" applyBorder="1"/>
    <xf numFmtId="0" fontId="28" fillId="10" borderId="75" xfId="0" applyFont="1" applyFill="1" applyBorder="1"/>
    <xf numFmtId="0" fontId="28" fillId="8" borderId="71" xfId="0" applyFont="1" applyFill="1" applyBorder="1"/>
    <xf numFmtId="0" fontId="28" fillId="8" borderId="72" xfId="0" applyFont="1" applyFill="1" applyBorder="1"/>
    <xf numFmtId="0" fontId="28" fillId="8" borderId="73" xfId="0" applyFont="1" applyFill="1" applyBorder="1"/>
    <xf numFmtId="1" fontId="28" fillId="4" borderId="9" xfId="0" applyNumberFormat="1" applyFont="1" applyFill="1" applyBorder="1" applyProtection="1">
      <protection locked="0"/>
    </xf>
    <xf numFmtId="0" fontId="28" fillId="8" borderId="1" xfId="0" applyFont="1" applyFill="1" applyBorder="1"/>
    <xf numFmtId="0" fontId="28" fillId="8" borderId="0" xfId="0" applyFont="1" applyFill="1"/>
    <xf numFmtId="0" fontId="28" fillId="8" borderId="2" xfId="0" applyFont="1" applyFill="1" applyBorder="1"/>
    <xf numFmtId="0" fontId="32" fillId="5" borderId="15" xfId="0" applyFont="1" applyFill="1" applyBorder="1"/>
    <xf numFmtId="2" fontId="28" fillId="5" borderId="17" xfId="0" applyNumberFormat="1" applyFont="1" applyFill="1" applyBorder="1"/>
    <xf numFmtId="2" fontId="28" fillId="3" borderId="0" xfId="0" applyNumberFormat="1" applyFont="1" applyFill="1"/>
    <xf numFmtId="2" fontId="28" fillId="3" borderId="2" xfId="0" applyNumberFormat="1" applyFont="1" applyFill="1" applyBorder="1"/>
    <xf numFmtId="165" fontId="28" fillId="3" borderId="87" xfId="0" applyNumberFormat="1" applyFont="1" applyFill="1" applyBorder="1"/>
    <xf numFmtId="2" fontId="28" fillId="3" borderId="88" xfId="0" applyNumberFormat="1" applyFont="1" applyFill="1" applyBorder="1"/>
    <xf numFmtId="0" fontId="28" fillId="9" borderId="1" xfId="0" applyFont="1" applyFill="1" applyBorder="1"/>
    <xf numFmtId="0" fontId="28" fillId="9" borderId="0" xfId="0" applyFont="1" applyFill="1"/>
    <xf numFmtId="0" fontId="28" fillId="9" borderId="2" xfId="0" applyFont="1" applyFill="1" applyBorder="1"/>
    <xf numFmtId="165" fontId="28" fillId="3" borderId="67" xfId="0" applyNumberFormat="1" applyFont="1" applyFill="1" applyBorder="1"/>
    <xf numFmtId="2" fontId="28" fillId="3" borderId="85" xfId="0" applyNumberFormat="1" applyFont="1" applyFill="1" applyBorder="1"/>
    <xf numFmtId="0" fontId="36" fillId="5" borderId="15" xfId="0" applyFont="1" applyFill="1" applyBorder="1"/>
    <xf numFmtId="0" fontId="39" fillId="5" borderId="15" xfId="0" applyFont="1" applyFill="1" applyBorder="1"/>
    <xf numFmtId="0" fontId="27" fillId="3" borderId="42" xfId="0" applyFont="1" applyFill="1" applyBorder="1"/>
    <xf numFmtId="0" fontId="28" fillId="3" borderId="41" xfId="0" applyFont="1" applyFill="1" applyBorder="1"/>
    <xf numFmtId="0" fontId="28" fillId="3" borderId="42" xfId="0" applyFont="1" applyFill="1" applyBorder="1"/>
    <xf numFmtId="0" fontId="28" fillId="3" borderId="46" xfId="0" applyFont="1" applyFill="1" applyBorder="1"/>
    <xf numFmtId="0" fontId="28" fillId="4" borderId="6" xfId="0" applyFont="1" applyFill="1" applyBorder="1" applyProtection="1">
      <protection locked="0"/>
    </xf>
    <xf numFmtId="0" fontId="28" fillId="3" borderId="2" xfId="0" applyFont="1" applyFill="1" applyBorder="1"/>
    <xf numFmtId="0" fontId="28" fillId="4" borderId="28" xfId="0" applyFont="1" applyFill="1" applyBorder="1" applyProtection="1">
      <protection locked="0"/>
    </xf>
    <xf numFmtId="1" fontId="43" fillId="7" borderId="0" xfId="0" applyNumberFormat="1" applyFont="1" applyFill="1" applyAlignment="1">
      <alignment horizontal="center" vertical="center"/>
    </xf>
    <xf numFmtId="165" fontId="28" fillId="3" borderId="0" xfId="0" applyNumberFormat="1" applyFont="1" applyFill="1"/>
    <xf numFmtId="0" fontId="28" fillId="3" borderId="90" xfId="0" applyFont="1" applyFill="1" applyBorder="1"/>
    <xf numFmtId="0" fontId="28" fillId="3" borderId="72" xfId="0" applyFont="1" applyFill="1" applyBorder="1" applyAlignment="1">
      <alignment vertical="center"/>
    </xf>
    <xf numFmtId="0" fontId="28" fillId="3" borderId="72" xfId="0" applyFont="1" applyFill="1" applyBorder="1"/>
    <xf numFmtId="0" fontId="28" fillId="3" borderId="73" xfId="0" applyFont="1" applyFill="1" applyBorder="1"/>
    <xf numFmtId="0" fontId="28" fillId="3" borderId="42" xfId="0" applyFont="1" applyFill="1" applyBorder="1" applyAlignment="1">
      <alignment vertical="center"/>
    </xf>
    <xf numFmtId="0" fontId="28" fillId="3" borderId="0" xfId="0" applyFont="1" applyFill="1" applyAlignment="1">
      <alignment vertical="center"/>
    </xf>
    <xf numFmtId="0" fontId="43" fillId="6" borderId="0" xfId="0" applyFont="1" applyFill="1"/>
    <xf numFmtId="0" fontId="28" fillId="3" borderId="33" xfId="0" applyFont="1" applyFill="1" applyBorder="1" applyAlignment="1">
      <alignment horizontal="left" vertical="center"/>
    </xf>
    <xf numFmtId="0" fontId="28" fillId="3" borderId="33" xfId="0" applyFont="1" applyFill="1" applyBorder="1"/>
    <xf numFmtId="0" fontId="28" fillId="3" borderId="33" xfId="0" applyFont="1" applyFill="1" applyBorder="1" applyAlignment="1">
      <alignment vertical="center"/>
    </xf>
    <xf numFmtId="0" fontId="28" fillId="3" borderId="23" xfId="0" applyFont="1" applyFill="1" applyBorder="1"/>
    <xf numFmtId="0" fontId="44" fillId="3" borderId="0" xfId="0" applyFont="1" applyFill="1"/>
    <xf numFmtId="0" fontId="27" fillId="3" borderId="4" xfId="0" applyFont="1" applyFill="1" applyBorder="1" applyAlignment="1">
      <alignment horizontal="right"/>
    </xf>
    <xf numFmtId="0" fontId="45" fillId="3" borderId="47" xfId="0" applyFont="1" applyFill="1" applyBorder="1"/>
    <xf numFmtId="0" fontId="28" fillId="3" borderId="4" xfId="0" applyFont="1" applyFill="1" applyBorder="1"/>
    <xf numFmtId="0" fontId="28" fillId="3" borderId="5" xfId="0" applyFont="1" applyFill="1" applyBorder="1"/>
    <xf numFmtId="165" fontId="34" fillId="23" borderId="4" xfId="0" applyNumberFormat="1" applyFont="1" applyFill="1" applyBorder="1" applyAlignment="1">
      <alignment vertical="center"/>
    </xf>
    <xf numFmtId="0" fontId="28" fillId="3" borderId="4" xfId="0" applyFont="1" applyFill="1" applyBorder="1" applyAlignment="1">
      <alignment horizontal="left" vertical="center"/>
    </xf>
    <xf numFmtId="0" fontId="34" fillId="23" borderId="4" xfId="0" applyFont="1" applyFill="1" applyBorder="1" applyAlignment="1">
      <alignment vertical="center"/>
    </xf>
    <xf numFmtId="0" fontId="28" fillId="3" borderId="4" xfId="0" applyFont="1" applyFill="1" applyBorder="1" applyAlignment="1">
      <alignment vertical="center"/>
    </xf>
    <xf numFmtId="0" fontId="28" fillId="3" borderId="37" xfId="0" applyFont="1" applyFill="1" applyBorder="1"/>
    <xf numFmtId="0" fontId="28" fillId="3" borderId="38" xfId="0" applyFont="1" applyFill="1" applyBorder="1"/>
    <xf numFmtId="0" fontId="46" fillId="3" borderId="0" xfId="0" applyFont="1" applyFill="1" applyAlignment="1">
      <alignment vertical="center"/>
    </xf>
    <xf numFmtId="0" fontId="27" fillId="3" borderId="127" xfId="0" applyFont="1" applyFill="1" applyBorder="1"/>
    <xf numFmtId="0" fontId="28" fillId="3" borderId="35" xfId="0" applyFont="1" applyFill="1" applyBorder="1" applyAlignment="1">
      <alignment vertical="center"/>
    </xf>
    <xf numFmtId="0" fontId="28" fillId="3" borderId="128" xfId="0" applyFont="1" applyFill="1" applyBorder="1"/>
    <xf numFmtId="0" fontId="44" fillId="3" borderId="64" xfId="0" quotePrefix="1" applyFont="1" applyFill="1" applyBorder="1" applyAlignment="1">
      <alignment vertical="center"/>
    </xf>
    <xf numFmtId="0" fontId="28" fillId="3" borderId="59" xfId="0" applyFont="1" applyFill="1" applyBorder="1"/>
    <xf numFmtId="0" fontId="44" fillId="3" borderId="64" xfId="0" quotePrefix="1" applyFont="1" applyFill="1" applyBorder="1"/>
    <xf numFmtId="0" fontId="44" fillId="3" borderId="0" xfId="0" applyFont="1" applyFill="1" applyAlignment="1">
      <alignment vertical="center"/>
    </xf>
    <xf numFmtId="0" fontId="28" fillId="3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28" fillId="4" borderId="6" xfId="0" applyFont="1" applyFill="1" applyBorder="1"/>
    <xf numFmtId="0" fontId="27" fillId="3" borderId="131" xfId="0" applyFont="1" applyFill="1" applyBorder="1"/>
    <xf numFmtId="0" fontId="51" fillId="3" borderId="0" xfId="0" applyFont="1" applyFill="1" applyAlignment="1">
      <alignment vertical="top" wrapText="1"/>
    </xf>
    <xf numFmtId="0" fontId="51" fillId="3" borderId="59" xfId="0" applyFont="1" applyFill="1" applyBorder="1" applyAlignment="1">
      <alignment vertical="top" wrapText="1"/>
    </xf>
    <xf numFmtId="0" fontId="53" fillId="3" borderId="129" xfId="0" applyFont="1" applyFill="1" applyBorder="1"/>
    <xf numFmtId="0" fontId="28" fillId="3" borderId="130" xfId="0" applyFont="1" applyFill="1" applyBorder="1"/>
    <xf numFmtId="165" fontId="28" fillId="0" borderId="0" xfId="0" applyNumberFormat="1" applyFont="1"/>
    <xf numFmtId="0" fontId="28" fillId="3" borderId="50" xfId="0" applyFont="1" applyFill="1" applyBorder="1"/>
    <xf numFmtId="0" fontId="28" fillId="4" borderId="7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/>
    <xf numFmtId="0" fontId="28" fillId="5" borderId="0" xfId="0" quotePrefix="1" applyFont="1" applyFill="1"/>
    <xf numFmtId="0" fontId="28" fillId="5" borderId="2" xfId="0" applyFont="1" applyFill="1" applyBorder="1"/>
    <xf numFmtId="0" fontId="28" fillId="3" borderId="3" xfId="0" applyFont="1" applyFill="1" applyBorder="1"/>
    <xf numFmtId="0" fontId="28" fillId="4" borderId="6" xfId="0" applyFont="1" applyFill="1" applyBorder="1" applyAlignment="1" applyProtection="1">
      <alignment horizontal="center"/>
      <protection locked="0"/>
    </xf>
    <xf numFmtId="0" fontId="28" fillId="3" borderId="1" xfId="0" applyFont="1" applyFill="1" applyBorder="1"/>
    <xf numFmtId="0" fontId="28" fillId="5" borderId="4" xfId="0" applyFont="1" applyFill="1" applyBorder="1"/>
    <xf numFmtId="0" fontId="28" fillId="5" borderId="5" xfId="0" applyFont="1" applyFill="1" applyBorder="1"/>
    <xf numFmtId="0" fontId="55" fillId="3" borderId="37" xfId="0" applyFont="1" applyFill="1" applyBorder="1"/>
    <xf numFmtId="0" fontId="55" fillId="3" borderId="37" xfId="0" applyFont="1" applyFill="1" applyBorder="1" applyAlignment="1">
      <alignment horizontal="right"/>
    </xf>
    <xf numFmtId="0" fontId="0" fillId="5" borderId="30" xfId="0" applyFill="1" applyBorder="1"/>
    <xf numFmtId="0" fontId="0" fillId="5" borderId="31" xfId="0" applyFill="1" applyBorder="1"/>
    <xf numFmtId="0" fontId="0" fillId="5" borderId="4" xfId="0" applyFill="1" applyBorder="1"/>
    <xf numFmtId="0" fontId="0" fillId="3" borderId="1" xfId="0" applyFill="1" applyBorder="1"/>
    <xf numFmtId="0" fontId="0" fillId="3" borderId="0" xfId="0" applyFill="1"/>
    <xf numFmtId="0" fontId="0" fillId="3" borderId="2" xfId="0" applyFill="1" applyBorder="1"/>
    <xf numFmtId="0" fontId="0" fillId="3" borderId="0" xfId="0" applyFill="1" applyAlignment="1">
      <alignment vertical="center"/>
    </xf>
    <xf numFmtId="0" fontId="58" fillId="3" borderId="0" xfId="0" applyFont="1" applyFill="1" applyAlignment="1">
      <alignment vertical="center"/>
    </xf>
    <xf numFmtId="0" fontId="58" fillId="3" borderId="2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3" fontId="9" fillId="30" borderId="35" xfId="0" applyNumberFormat="1" applyFont="1" applyFill="1" applyBorder="1" applyAlignment="1">
      <alignment vertical="center"/>
    </xf>
    <xf numFmtId="0" fontId="0" fillId="30" borderId="35" xfId="0" applyFill="1" applyBorder="1" applyAlignment="1">
      <alignment horizontal="left" vertical="center"/>
    </xf>
    <xf numFmtId="0" fontId="0" fillId="12" borderId="0" xfId="0" applyFill="1" applyAlignment="1">
      <alignment vertical="center"/>
    </xf>
    <xf numFmtId="1" fontId="1" fillId="12" borderId="0" xfId="0" applyNumberFormat="1" applyFont="1" applyFill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35" fillId="3" borderId="0" xfId="0" quotePrefix="1" applyFont="1" applyFill="1" applyAlignment="1">
      <alignment vertical="center"/>
    </xf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28" fillId="3" borderId="44" xfId="0" applyFont="1" applyFill="1" applyBorder="1" applyAlignment="1">
      <alignment horizontal="right"/>
    </xf>
    <xf numFmtId="0" fontId="28" fillId="10" borderId="0" xfId="0" applyFont="1" applyFill="1" applyAlignment="1">
      <alignment horizontal="right"/>
    </xf>
    <xf numFmtId="0" fontId="0" fillId="0" borderId="0" xfId="0" quotePrefix="1"/>
    <xf numFmtId="0" fontId="65" fillId="3" borderId="0" xfId="0" applyFont="1" applyFill="1" applyAlignment="1">
      <alignment vertical="top"/>
    </xf>
    <xf numFmtId="0" fontId="0" fillId="0" borderId="159" xfId="0" applyBorder="1" applyAlignment="1">
      <alignment horizontal="left"/>
    </xf>
    <xf numFmtId="0" fontId="0" fillId="0" borderId="159" xfId="0" applyBorder="1"/>
    <xf numFmtId="1" fontId="0" fillId="0" borderId="159" xfId="0" applyNumberFormat="1" applyBorder="1"/>
    <xf numFmtId="0" fontId="26" fillId="0" borderId="0" xfId="0" applyFont="1"/>
    <xf numFmtId="0" fontId="17" fillId="18" borderId="0" xfId="0" applyFont="1" applyFill="1"/>
    <xf numFmtId="0" fontId="17" fillId="18" borderId="2" xfId="0" applyFont="1" applyFill="1" applyBorder="1"/>
    <xf numFmtId="0" fontId="17" fillId="18" borderId="4" xfId="0" applyFont="1" applyFill="1" applyBorder="1"/>
    <xf numFmtId="0" fontId="17" fillId="18" borderId="5" xfId="0" applyFont="1" applyFill="1" applyBorder="1"/>
    <xf numFmtId="0" fontId="21" fillId="0" borderId="0" xfId="0" applyFont="1"/>
    <xf numFmtId="0" fontId="69" fillId="18" borderId="0" xfId="0" applyFont="1" applyFill="1"/>
    <xf numFmtId="0" fontId="69" fillId="18" borderId="2" xfId="0" applyFont="1" applyFill="1" applyBorder="1"/>
    <xf numFmtId="0" fontId="5" fillId="0" borderId="0" xfId="0" applyFont="1"/>
    <xf numFmtId="2" fontId="9" fillId="20" borderId="16" xfId="0" applyNumberFormat="1" applyFont="1" applyFill="1" applyBorder="1"/>
    <xf numFmtId="2" fontId="9" fillId="9" borderId="16" xfId="0" applyNumberFormat="1" applyFont="1" applyFill="1" applyBorder="1"/>
    <xf numFmtId="0" fontId="17" fillId="3" borderId="80" xfId="0" applyFont="1" applyFill="1" applyBorder="1"/>
    <xf numFmtId="0" fontId="17" fillId="3" borderId="0" xfId="0" applyFont="1" applyFill="1"/>
    <xf numFmtId="0" fontId="17" fillId="3" borderId="78" xfId="0" applyFont="1" applyFill="1" applyBorder="1"/>
    <xf numFmtId="0" fontId="17" fillId="3" borderId="79" xfId="0" applyFont="1" applyFill="1" applyBorder="1"/>
    <xf numFmtId="0" fontId="17" fillId="3" borderId="81" xfId="0" applyFont="1" applyFill="1" applyBorder="1"/>
    <xf numFmtId="0" fontId="17" fillId="3" borderId="82" xfId="0" applyFont="1" applyFill="1" applyBorder="1"/>
    <xf numFmtId="0" fontId="17" fillId="3" borderId="83" xfId="0" applyFont="1" applyFill="1" applyBorder="1"/>
    <xf numFmtId="0" fontId="17" fillId="3" borderId="84" xfId="0" applyFont="1" applyFill="1" applyBorder="1"/>
    <xf numFmtId="0" fontId="17" fillId="3" borderId="77" xfId="0" applyFont="1" applyFill="1" applyBorder="1"/>
    <xf numFmtId="2" fontId="17" fillId="3" borderId="0" xfId="0" applyNumberFormat="1" applyFont="1" applyFill="1" applyAlignment="1">
      <alignment horizontal="right"/>
    </xf>
    <xf numFmtId="0" fontId="17" fillId="3" borderId="0" xfId="0" applyFont="1" applyFill="1" applyAlignment="1">
      <alignment horizontal="right"/>
    </xf>
    <xf numFmtId="0" fontId="17" fillId="3" borderId="81" xfId="0" applyFont="1" applyFill="1" applyBorder="1" applyAlignment="1">
      <alignment horizontal="right"/>
    </xf>
    <xf numFmtId="0" fontId="17" fillId="3" borderId="80" xfId="0" applyFont="1" applyFill="1" applyBorder="1" applyAlignment="1">
      <alignment horizontal="right"/>
    </xf>
    <xf numFmtId="0" fontId="17" fillId="0" borderId="0" xfId="0" applyFont="1"/>
    <xf numFmtId="0" fontId="40" fillId="3" borderId="80" xfId="0" applyFont="1" applyFill="1" applyBorder="1"/>
    <xf numFmtId="2" fontId="28" fillId="3" borderId="0" xfId="0" applyNumberFormat="1" applyFont="1" applyFill="1" applyAlignment="1">
      <alignment horizontal="right"/>
    </xf>
    <xf numFmtId="0" fontId="28" fillId="3" borderId="0" xfId="0" applyFont="1" applyFill="1" applyAlignment="1">
      <alignment horizontal="right"/>
    </xf>
    <xf numFmtId="0" fontId="28" fillId="3" borderId="42" xfId="0" applyFont="1" applyFill="1" applyBorder="1" applyAlignment="1">
      <alignment horizontal="left" vertical="center"/>
    </xf>
    <xf numFmtId="0" fontId="0" fillId="12" borderId="0" xfId="0" applyFill="1" applyAlignment="1">
      <alignment horizontal="right" vertical="center"/>
    </xf>
    <xf numFmtId="0" fontId="0" fillId="0" borderId="0" xfId="0" applyAlignment="1">
      <alignment horizontal="left"/>
    </xf>
    <xf numFmtId="0" fontId="2" fillId="2" borderId="9" xfId="0" applyFont="1" applyFill="1" applyBorder="1" applyAlignment="1">
      <alignment horizontal="center" vertical="center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7" xfId="0" applyFont="1" applyFill="1" applyBorder="1"/>
    <xf numFmtId="0" fontId="1" fillId="2" borderId="14" xfId="0" applyFont="1" applyFill="1" applyBorder="1"/>
    <xf numFmtId="0" fontId="1" fillId="3" borderId="1" xfId="0" applyFont="1" applyFill="1" applyBorder="1"/>
    <xf numFmtId="0" fontId="1" fillId="2" borderId="86" xfId="0" applyFont="1" applyFill="1" applyBorder="1"/>
    <xf numFmtId="0" fontId="1" fillId="2" borderId="21" xfId="0" applyFont="1" applyFill="1" applyBorder="1"/>
    <xf numFmtId="0" fontId="1" fillId="2" borderId="89" xfId="0" applyFont="1" applyFill="1" applyBorder="1"/>
    <xf numFmtId="2" fontId="9" fillId="21" borderId="16" xfId="0" applyNumberFormat="1" applyFont="1" applyFill="1" applyBorder="1"/>
    <xf numFmtId="0" fontId="21" fillId="0" borderId="14" xfId="0" applyFont="1" applyBorder="1"/>
    <xf numFmtId="0" fontId="9" fillId="3" borderId="0" xfId="0" applyFont="1" applyFill="1" applyAlignment="1" applyProtection="1">
      <alignment horizontal="center" vertical="center"/>
      <protection locked="0"/>
    </xf>
    <xf numFmtId="0" fontId="2" fillId="3" borderId="1" xfId="0" applyFont="1" applyFill="1" applyBorder="1"/>
    <xf numFmtId="0" fontId="2" fillId="3" borderId="20" xfId="0" applyFont="1" applyFill="1" applyBorder="1"/>
    <xf numFmtId="0" fontId="2" fillId="3" borderId="12" xfId="0" applyFont="1" applyFill="1" applyBorder="1"/>
    <xf numFmtId="0" fontId="2" fillId="3" borderId="0" xfId="0" applyFont="1" applyFill="1"/>
    <xf numFmtId="2" fontId="3" fillId="3" borderId="0" xfId="0" applyNumberFormat="1" applyFont="1" applyFill="1"/>
    <xf numFmtId="0" fontId="3" fillId="3" borderId="2" xfId="0" applyFont="1" applyFill="1" applyBorder="1"/>
    <xf numFmtId="0" fontId="2" fillId="3" borderId="71" xfId="0" applyFont="1" applyFill="1" applyBorder="1"/>
    <xf numFmtId="0" fontId="9" fillId="7" borderId="72" xfId="0" applyFont="1" applyFill="1" applyBorder="1" applyAlignment="1">
      <alignment vertical="center"/>
    </xf>
    <xf numFmtId="0" fontId="9" fillId="7" borderId="0" xfId="0" applyFont="1" applyFill="1" applyAlignment="1">
      <alignment vertical="center"/>
    </xf>
    <xf numFmtId="0" fontId="9" fillId="7" borderId="0" xfId="0" applyFont="1" applyFill="1" applyAlignment="1">
      <alignment horizontal="center"/>
    </xf>
    <xf numFmtId="1" fontId="9" fillId="7" borderId="0" xfId="0" applyNumberFormat="1" applyFont="1" applyFill="1" applyAlignment="1">
      <alignment horizontal="center" vertical="center"/>
    </xf>
    <xf numFmtId="0" fontId="2" fillId="3" borderId="50" xfId="0" applyFont="1" applyFill="1" applyBorder="1" applyAlignment="1">
      <alignment vertical="center"/>
    </xf>
    <xf numFmtId="0" fontId="9" fillId="22" borderId="42" xfId="0" applyFont="1" applyFill="1" applyBorder="1" applyAlignment="1">
      <alignment vertical="center"/>
    </xf>
    <xf numFmtId="0" fontId="2" fillId="3" borderId="32" xfId="0" applyFont="1" applyFill="1" applyBorder="1" applyAlignment="1">
      <alignment vertical="center"/>
    </xf>
    <xf numFmtId="0" fontId="9" fillId="22" borderId="33" xfId="0" applyFont="1" applyFill="1" applyBorder="1" applyAlignment="1">
      <alignment vertical="center"/>
    </xf>
    <xf numFmtId="0" fontId="2" fillId="3" borderId="39" xfId="0" applyFont="1" applyFill="1" applyBorder="1"/>
    <xf numFmtId="164" fontId="9" fillId="3" borderId="4" xfId="0" applyNumberFormat="1" applyFont="1" applyFill="1" applyBorder="1"/>
    <xf numFmtId="0" fontId="2" fillId="3" borderId="3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9" fillId="5" borderId="0" xfId="0" applyFont="1" applyFill="1"/>
    <xf numFmtId="0" fontId="9" fillId="3" borderId="50" xfId="0" applyFont="1" applyFill="1" applyBorder="1" applyAlignment="1">
      <alignment horizontal="center"/>
    </xf>
    <xf numFmtId="0" fontId="9" fillId="3" borderId="42" xfId="0" applyFont="1" applyFill="1" applyBorder="1" applyAlignment="1">
      <alignment horizontal="center"/>
    </xf>
    <xf numFmtId="0" fontId="9" fillId="3" borderId="46" xfId="0" applyFont="1" applyFill="1" applyBorder="1" applyAlignment="1">
      <alignment horizontal="center"/>
    </xf>
    <xf numFmtId="0" fontId="28" fillId="3" borderId="0" xfId="0" applyFont="1" applyFill="1" applyAlignment="1">
      <alignment horizontal="right"/>
    </xf>
    <xf numFmtId="0" fontId="60" fillId="3" borderId="37" xfId="0" applyFont="1" applyFill="1" applyBorder="1" applyAlignment="1">
      <alignment horizontal="center" vertical="center"/>
    </xf>
    <xf numFmtId="0" fontId="55" fillId="3" borderId="37" xfId="0" applyFont="1" applyFill="1" applyBorder="1" applyAlignment="1" applyProtection="1">
      <alignment horizontal="right" vertical="center"/>
      <protection locked="0"/>
    </xf>
    <xf numFmtId="14" fontId="55" fillId="3" borderId="37" xfId="0" applyNumberFormat="1" applyFont="1" applyFill="1" applyBorder="1" applyAlignment="1">
      <alignment horizontal="left" vertical="center"/>
    </xf>
    <xf numFmtId="1" fontId="28" fillId="4" borderId="28" xfId="0" applyNumberFormat="1" applyFont="1" applyFill="1" applyBorder="1" applyProtection="1">
      <protection locked="0"/>
    </xf>
    <xf numFmtId="0" fontId="9" fillId="5" borderId="29" xfId="0" applyFont="1" applyFill="1" applyBorder="1" applyAlignment="1">
      <alignment horizontal="center"/>
    </xf>
    <xf numFmtId="0" fontId="9" fillId="5" borderId="30" xfId="0" applyFont="1" applyFill="1" applyBorder="1" applyAlignment="1">
      <alignment horizontal="center"/>
    </xf>
    <xf numFmtId="0" fontId="9" fillId="5" borderId="31" xfId="0" applyFont="1" applyFill="1" applyBorder="1" applyAlignment="1">
      <alignment horizontal="center"/>
    </xf>
    <xf numFmtId="165" fontId="9" fillId="5" borderId="0" xfId="0" applyNumberFormat="1" applyFont="1" applyFill="1" applyAlignment="1">
      <alignment horizontal="center"/>
    </xf>
    <xf numFmtId="0" fontId="28" fillId="5" borderId="1" xfId="0" applyFont="1" applyFill="1" applyBorder="1" applyAlignment="1">
      <alignment horizontal="left"/>
    </xf>
    <xf numFmtId="0" fontId="28" fillId="5" borderId="0" xfId="0" applyFont="1" applyFill="1" applyAlignment="1">
      <alignment horizontal="left"/>
    </xf>
    <xf numFmtId="0" fontId="28" fillId="5" borderId="13" xfId="0" applyFont="1" applyFill="1" applyBorder="1" applyAlignment="1">
      <alignment horizontal="left"/>
    </xf>
    <xf numFmtId="3" fontId="28" fillId="4" borderId="27" xfId="0" applyNumberFormat="1" applyFont="1" applyFill="1" applyBorder="1" applyAlignment="1" applyProtection="1">
      <alignment horizontal="center"/>
      <protection locked="0"/>
    </xf>
    <xf numFmtId="3" fontId="28" fillId="4" borderId="28" xfId="0" applyNumberFormat="1" applyFont="1" applyFill="1" applyBorder="1" applyAlignment="1" applyProtection="1">
      <alignment horizontal="center"/>
      <protection locked="0"/>
    </xf>
    <xf numFmtId="0" fontId="28" fillId="4" borderId="27" xfId="0" applyFont="1" applyFill="1" applyBorder="1" applyAlignment="1" applyProtection="1">
      <alignment horizontal="center"/>
      <protection locked="0"/>
    </xf>
    <xf numFmtId="0" fontId="28" fillId="4" borderId="28" xfId="0" applyFont="1" applyFill="1" applyBorder="1" applyAlignment="1" applyProtection="1">
      <alignment horizontal="center"/>
      <protection locked="0"/>
    </xf>
    <xf numFmtId="3" fontId="14" fillId="21" borderId="121" xfId="0" applyNumberFormat="1" applyFont="1" applyFill="1" applyBorder="1" applyAlignment="1">
      <alignment horizontal="center" vertical="center"/>
    </xf>
    <xf numFmtId="3" fontId="14" fillId="21" borderId="5" xfId="0" applyNumberFormat="1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/>
    </xf>
    <xf numFmtId="0" fontId="2" fillId="3" borderId="33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8" fillId="3" borderId="92" xfId="0" applyFont="1" applyFill="1" applyBorder="1" applyAlignment="1">
      <alignment horizontal="right"/>
    </xf>
    <xf numFmtId="0" fontId="28" fillId="3" borderId="93" xfId="0" applyFont="1" applyFill="1" applyBorder="1" applyAlignment="1">
      <alignment horizontal="right"/>
    </xf>
    <xf numFmtId="2" fontId="28" fillId="3" borderId="92" xfId="0" applyNumberFormat="1" applyFont="1" applyFill="1" applyBorder="1" applyAlignment="1">
      <alignment horizontal="right"/>
    </xf>
    <xf numFmtId="2" fontId="28" fillId="3" borderId="33" xfId="0" applyNumberFormat="1" applyFont="1" applyFill="1" applyBorder="1" applyAlignment="1">
      <alignment horizontal="right"/>
    </xf>
    <xf numFmtId="2" fontId="28" fillId="3" borderId="93" xfId="0" applyNumberFormat="1" applyFont="1" applyFill="1" applyBorder="1" applyAlignment="1">
      <alignment horizontal="right"/>
    </xf>
    <xf numFmtId="0" fontId="28" fillId="3" borderId="33" xfId="0" applyFont="1" applyFill="1" applyBorder="1" applyAlignment="1">
      <alignment horizontal="right"/>
    </xf>
    <xf numFmtId="0" fontId="38" fillId="9" borderId="125" xfId="0" applyFont="1" applyFill="1" applyBorder="1" applyAlignment="1">
      <alignment horizontal="center"/>
    </xf>
    <xf numFmtId="0" fontId="27" fillId="8" borderId="24" xfId="0" applyFont="1" applyFill="1" applyBorder="1" applyAlignment="1">
      <alignment horizontal="center"/>
    </xf>
    <xf numFmtId="0" fontId="27" fillId="8" borderId="25" xfId="0" applyFont="1" applyFill="1" applyBorder="1" applyAlignment="1">
      <alignment horizontal="center"/>
    </xf>
    <xf numFmtId="0" fontId="27" fillId="8" borderId="26" xfId="0" applyFont="1" applyFill="1" applyBorder="1" applyAlignment="1">
      <alignment horizontal="center"/>
    </xf>
    <xf numFmtId="0" fontId="28" fillId="3" borderId="42" xfId="0" applyFont="1" applyFill="1" applyBorder="1" applyAlignment="1">
      <alignment horizontal="left" vertical="center"/>
    </xf>
    <xf numFmtId="0" fontId="32" fillId="9" borderId="125" xfId="0" applyFont="1" applyFill="1" applyBorder="1" applyAlignment="1">
      <alignment horizontal="center"/>
    </xf>
    <xf numFmtId="165" fontId="9" fillId="10" borderId="0" xfId="0" applyNumberFormat="1" applyFont="1" applyFill="1" applyAlignment="1">
      <alignment horizontal="center"/>
    </xf>
    <xf numFmtId="0" fontId="42" fillId="3" borderId="53" xfId="0" applyFont="1" applyFill="1" applyBorder="1" applyAlignment="1">
      <alignment horizontal="center"/>
    </xf>
    <xf numFmtId="165" fontId="34" fillId="14" borderId="0" xfId="0" applyNumberFormat="1" applyFont="1" applyFill="1" applyAlignment="1">
      <alignment horizontal="center"/>
    </xf>
    <xf numFmtId="165" fontId="34" fillId="15" borderId="0" xfId="0" applyNumberFormat="1" applyFont="1" applyFill="1" applyAlignment="1">
      <alignment horizontal="center"/>
    </xf>
    <xf numFmtId="165" fontId="34" fillId="15" borderId="2" xfId="0" applyNumberFormat="1" applyFont="1" applyFill="1" applyBorder="1" applyAlignment="1">
      <alignment horizontal="center"/>
    </xf>
    <xf numFmtId="0" fontId="28" fillId="3" borderId="32" xfId="0" applyFont="1" applyFill="1" applyBorder="1" applyAlignment="1">
      <alignment horizontal="center"/>
    </xf>
    <xf numFmtId="0" fontId="28" fillId="3" borderId="33" xfId="0" applyFont="1" applyFill="1" applyBorder="1" applyAlignment="1">
      <alignment horizontal="center"/>
    </xf>
    <xf numFmtId="0" fontId="28" fillId="3" borderId="23" xfId="0" applyFont="1" applyFill="1" applyBorder="1" applyAlignment="1">
      <alignment horizontal="center"/>
    </xf>
    <xf numFmtId="164" fontId="4" fillId="5" borderId="95" xfId="0" applyNumberFormat="1" applyFont="1" applyFill="1" applyBorder="1" applyAlignment="1">
      <alignment horizontal="right"/>
    </xf>
    <xf numFmtId="164" fontId="4" fillId="5" borderId="91" xfId="0" applyNumberFormat="1" applyFont="1" applyFill="1" applyBorder="1" applyAlignment="1">
      <alignment horizontal="right"/>
    </xf>
    <xf numFmtId="164" fontId="4" fillId="5" borderId="96" xfId="0" applyNumberFormat="1" applyFont="1" applyFill="1" applyBorder="1" applyAlignment="1">
      <alignment horizontal="right"/>
    </xf>
    <xf numFmtId="2" fontId="28" fillId="5" borderId="95" xfId="0" applyNumberFormat="1" applyFont="1" applyFill="1" applyBorder="1" applyAlignment="1">
      <alignment horizontal="right"/>
    </xf>
    <xf numFmtId="2" fontId="28" fillId="5" borderId="91" xfId="0" applyNumberFormat="1" applyFont="1" applyFill="1" applyBorder="1" applyAlignment="1">
      <alignment horizontal="right"/>
    </xf>
    <xf numFmtId="2" fontId="28" fillId="5" borderId="96" xfId="0" applyNumberFormat="1" applyFont="1" applyFill="1" applyBorder="1" applyAlignment="1">
      <alignment horizontal="right"/>
    </xf>
    <xf numFmtId="2" fontId="28" fillId="3" borderId="12" xfId="0" applyNumberFormat="1" applyFont="1" applyFill="1" applyBorder="1" applyAlignment="1">
      <alignment horizontal="right"/>
    </xf>
    <xf numFmtId="2" fontId="28" fillId="3" borderId="0" xfId="0" applyNumberFormat="1" applyFont="1" applyFill="1" applyAlignment="1">
      <alignment horizontal="right"/>
    </xf>
    <xf numFmtId="2" fontId="28" fillId="3" borderId="13" xfId="0" applyNumberFormat="1" applyFont="1" applyFill="1" applyBorder="1" applyAlignment="1">
      <alignment horizontal="right"/>
    </xf>
    <xf numFmtId="0" fontId="28" fillId="3" borderId="12" xfId="0" applyFont="1" applyFill="1" applyBorder="1" applyAlignment="1">
      <alignment horizontal="right"/>
    </xf>
    <xf numFmtId="0" fontId="28" fillId="3" borderId="0" xfId="0" applyFont="1" applyFill="1" applyAlignment="1">
      <alignment horizontal="right"/>
    </xf>
    <xf numFmtId="0" fontId="28" fillId="3" borderId="13" xfId="0" applyFont="1" applyFill="1" applyBorder="1" applyAlignment="1">
      <alignment horizontal="right"/>
    </xf>
    <xf numFmtId="2" fontId="28" fillId="3" borderId="94" xfId="0" applyNumberFormat="1" applyFont="1" applyFill="1" applyBorder="1" applyAlignment="1">
      <alignment horizontal="right"/>
    </xf>
    <xf numFmtId="2" fontId="28" fillId="3" borderId="35" xfId="0" applyNumberFormat="1" applyFont="1" applyFill="1" applyBorder="1" applyAlignment="1">
      <alignment horizontal="right"/>
    </xf>
    <xf numFmtId="2" fontId="28" fillId="3" borderId="40" xfId="0" applyNumberFormat="1" applyFont="1" applyFill="1" applyBorder="1" applyAlignment="1">
      <alignment horizontal="right"/>
    </xf>
    <xf numFmtId="0" fontId="28" fillId="3" borderId="94" xfId="0" applyFont="1" applyFill="1" applyBorder="1" applyAlignment="1">
      <alignment horizontal="right"/>
    </xf>
    <xf numFmtId="0" fontId="28" fillId="3" borderId="35" xfId="0" applyFont="1" applyFill="1" applyBorder="1" applyAlignment="1">
      <alignment horizontal="right"/>
    </xf>
    <xf numFmtId="0" fontId="28" fillId="3" borderId="40" xfId="0" applyFont="1" applyFill="1" applyBorder="1" applyAlignment="1">
      <alignment horizontal="right"/>
    </xf>
    <xf numFmtId="0" fontId="33" fillId="15" borderId="50" xfId="0" applyFont="1" applyFill="1" applyBorder="1" applyAlignment="1">
      <alignment horizontal="center" vertical="center"/>
    </xf>
    <xf numFmtId="0" fontId="33" fillId="15" borderId="122" xfId="0" applyFont="1" applyFill="1" applyBorder="1" applyAlignment="1">
      <alignment horizontal="center" vertical="center"/>
    </xf>
    <xf numFmtId="0" fontId="17" fillId="15" borderId="42" xfId="0" quotePrefix="1" applyFont="1" applyFill="1" applyBorder="1" applyAlignment="1">
      <alignment horizontal="center" vertical="center"/>
    </xf>
    <xf numFmtId="0" fontId="17" fillId="15" borderId="4" xfId="0" applyFont="1" applyFill="1" applyBorder="1" applyAlignment="1">
      <alignment horizontal="center" vertical="center"/>
    </xf>
    <xf numFmtId="0" fontId="34" fillId="15" borderId="123" xfId="0" applyFont="1" applyFill="1" applyBorder="1" applyAlignment="1">
      <alignment horizontal="center" vertical="center"/>
    </xf>
    <xf numFmtId="0" fontId="34" fillId="15" borderId="122" xfId="0" applyFont="1" applyFill="1" applyBorder="1" applyAlignment="1">
      <alignment horizontal="center" vertical="center"/>
    </xf>
    <xf numFmtId="0" fontId="35" fillId="15" borderId="42" xfId="0" quotePrefix="1" applyFont="1" applyFill="1" applyBorder="1" applyAlignment="1">
      <alignment horizontal="center" vertical="center"/>
    </xf>
    <xf numFmtId="0" fontId="35" fillId="15" borderId="4" xfId="0" quotePrefix="1" applyFont="1" applyFill="1" applyBorder="1" applyAlignment="1">
      <alignment horizontal="center" vertical="center"/>
    </xf>
    <xf numFmtId="0" fontId="33" fillId="15" borderId="123" xfId="0" applyFont="1" applyFill="1" applyBorder="1" applyAlignment="1">
      <alignment horizontal="center" vertical="center"/>
    </xf>
    <xf numFmtId="0" fontId="33" fillId="15" borderId="46" xfId="0" applyFont="1" applyFill="1" applyBorder="1" applyAlignment="1">
      <alignment horizontal="center" vertical="center"/>
    </xf>
    <xf numFmtId="3" fontId="14" fillId="21" borderId="3" xfId="0" applyNumberFormat="1" applyFont="1" applyFill="1" applyBorder="1" applyAlignment="1">
      <alignment horizontal="center" vertical="center"/>
    </xf>
    <xf numFmtId="3" fontId="14" fillId="21" borderId="120" xfId="0" applyNumberFormat="1" applyFont="1" applyFill="1" applyBorder="1" applyAlignment="1">
      <alignment horizontal="center" vertical="center"/>
    </xf>
    <xf numFmtId="0" fontId="2" fillId="3" borderId="117" xfId="0" applyFont="1" applyFill="1" applyBorder="1" applyAlignment="1">
      <alignment horizontal="center" vertical="center"/>
    </xf>
    <xf numFmtId="0" fontId="2" fillId="3" borderId="118" xfId="0" applyFont="1" applyFill="1" applyBorder="1" applyAlignment="1">
      <alignment horizontal="center" vertical="center"/>
    </xf>
    <xf numFmtId="0" fontId="2" fillId="3" borderId="119" xfId="0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center"/>
    </xf>
    <xf numFmtId="0" fontId="28" fillId="3" borderId="4" xfId="0" applyFont="1" applyFill="1" applyBorder="1" applyAlignment="1">
      <alignment horizontal="center"/>
    </xf>
    <xf numFmtId="1" fontId="9" fillId="5" borderId="4" xfId="0" applyNumberFormat="1" applyFont="1" applyFill="1" applyBorder="1" applyAlignment="1">
      <alignment horizontal="center"/>
    </xf>
    <xf numFmtId="3" fontId="11" fillId="9" borderId="0" xfId="0" applyNumberFormat="1" applyFont="1" applyFill="1" applyAlignment="1">
      <alignment horizontal="center"/>
    </xf>
    <xf numFmtId="165" fontId="9" fillId="5" borderId="4" xfId="0" applyNumberFormat="1" applyFont="1" applyFill="1" applyBorder="1" applyAlignment="1">
      <alignment horizontal="center"/>
    </xf>
    <xf numFmtId="0" fontId="39" fillId="9" borderId="125" xfId="0" applyFont="1" applyFill="1" applyBorder="1" applyAlignment="1">
      <alignment horizontal="center"/>
    </xf>
    <xf numFmtId="0" fontId="40" fillId="9" borderId="126" xfId="0" applyFont="1" applyFill="1" applyBorder="1" applyAlignment="1">
      <alignment horizontal="center"/>
    </xf>
    <xf numFmtId="1" fontId="34" fillId="14" borderId="103" xfId="0" applyNumberFormat="1" applyFont="1" applyFill="1" applyBorder="1" applyAlignment="1">
      <alignment horizontal="center"/>
    </xf>
    <xf numFmtId="1" fontId="34" fillId="15" borderId="103" xfId="0" applyNumberFormat="1" applyFont="1" applyFill="1" applyBorder="1" applyAlignment="1">
      <alignment horizontal="center"/>
    </xf>
    <xf numFmtId="1" fontId="34" fillId="15" borderId="104" xfId="0" applyNumberFormat="1" applyFont="1" applyFill="1" applyBorder="1" applyAlignment="1">
      <alignment horizontal="center"/>
    </xf>
    <xf numFmtId="1" fontId="9" fillId="10" borderId="103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12" fillId="0" borderId="102" xfId="0" applyFont="1" applyBorder="1" applyAlignment="1">
      <alignment horizontal="center"/>
    </xf>
    <xf numFmtId="0" fontId="12" fillId="0" borderId="103" xfId="0" applyFont="1" applyBorder="1" applyAlignment="1">
      <alignment horizontal="center"/>
    </xf>
    <xf numFmtId="0" fontId="37" fillId="9" borderId="124" xfId="0" applyFont="1" applyFill="1" applyBorder="1" applyAlignment="1">
      <alignment horizontal="center"/>
    </xf>
    <xf numFmtId="0" fontId="37" fillId="9" borderId="125" xfId="0" applyFont="1" applyFill="1" applyBorder="1" applyAlignment="1">
      <alignment horizontal="center"/>
    </xf>
    <xf numFmtId="3" fontId="10" fillId="9" borderId="0" xfId="0" applyNumberFormat="1" applyFont="1" applyFill="1" applyAlignment="1">
      <alignment horizontal="center"/>
    </xf>
    <xf numFmtId="0" fontId="28" fillId="3" borderId="1" xfId="0" applyFont="1" applyFill="1" applyBorder="1" applyAlignment="1">
      <alignment horizontal="center"/>
    </xf>
    <xf numFmtId="0" fontId="28" fillId="3" borderId="0" xfId="0" applyFont="1" applyFill="1" applyAlignment="1">
      <alignment horizontal="center"/>
    </xf>
    <xf numFmtId="0" fontId="30" fillId="5" borderId="30" xfId="0" applyFont="1" applyFill="1" applyBorder="1" applyAlignment="1">
      <alignment horizontal="center" vertical="center"/>
    </xf>
    <xf numFmtId="0" fontId="30" fillId="5" borderId="4" xfId="0" applyFont="1" applyFill="1" applyBorder="1" applyAlignment="1">
      <alignment horizontal="center" vertical="center"/>
    </xf>
    <xf numFmtId="0" fontId="54" fillId="5" borderId="30" xfId="0" applyFont="1" applyFill="1" applyBorder="1" applyAlignment="1">
      <alignment horizontal="right"/>
    </xf>
    <xf numFmtId="0" fontId="54" fillId="5" borderId="31" xfId="0" applyFont="1" applyFill="1" applyBorder="1" applyAlignment="1">
      <alignment horizontal="right"/>
    </xf>
    <xf numFmtId="0" fontId="54" fillId="5" borderId="4" xfId="0" applyFont="1" applyFill="1" applyBorder="1" applyAlignment="1">
      <alignment horizontal="right"/>
    </xf>
    <xf numFmtId="0" fontId="54" fillId="5" borderId="5" xfId="0" applyFont="1" applyFill="1" applyBorder="1" applyAlignment="1">
      <alignment horizontal="right"/>
    </xf>
    <xf numFmtId="0" fontId="2" fillId="2" borderId="18" xfId="0" applyFont="1" applyFill="1" applyBorder="1" applyAlignment="1">
      <alignment horizontal="center" vertical="center"/>
    </xf>
    <xf numFmtId="0" fontId="2" fillId="2" borderId="85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9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93" xfId="0" applyFont="1" applyFill="1" applyBorder="1" applyAlignment="1">
      <alignment horizontal="center" vertical="center"/>
    </xf>
    <xf numFmtId="0" fontId="31" fillId="8" borderId="25" xfId="0" applyFont="1" applyFill="1" applyBorder="1" applyAlignment="1">
      <alignment horizontal="center"/>
    </xf>
    <xf numFmtId="0" fontId="31" fillId="8" borderId="26" xfId="0" applyFont="1" applyFill="1" applyBorder="1" applyAlignment="1">
      <alignment horizontal="center"/>
    </xf>
    <xf numFmtId="0" fontId="29" fillId="5" borderId="29" xfId="0" applyFont="1" applyFill="1" applyBorder="1" applyAlignment="1">
      <alignment horizontal="right" vertical="center"/>
    </xf>
    <xf numFmtId="0" fontId="29" fillId="5" borderId="30" xfId="0" applyFont="1" applyFill="1" applyBorder="1" applyAlignment="1">
      <alignment horizontal="right" vertical="center"/>
    </xf>
    <xf numFmtId="0" fontId="29" fillId="5" borderId="3" xfId="0" applyFont="1" applyFill="1" applyBorder="1" applyAlignment="1">
      <alignment horizontal="right" vertical="center"/>
    </xf>
    <xf numFmtId="0" fontId="29" fillId="5" borderId="4" xfId="0" applyFont="1" applyFill="1" applyBorder="1" applyAlignment="1">
      <alignment horizontal="right" vertical="center"/>
    </xf>
    <xf numFmtId="0" fontId="2" fillId="10" borderId="1" xfId="0" applyFont="1" applyFill="1" applyBorder="1" applyAlignment="1">
      <alignment horizontal="center" vertical="center"/>
    </xf>
    <xf numFmtId="0" fontId="2" fillId="10" borderId="98" xfId="0" applyFont="1" applyFill="1" applyBorder="1" applyAlignment="1">
      <alignment horizontal="center" vertical="center"/>
    </xf>
    <xf numFmtId="0" fontId="2" fillId="10" borderId="74" xfId="0" applyFont="1" applyFill="1" applyBorder="1" applyAlignment="1">
      <alignment horizontal="center" vertical="center"/>
    </xf>
    <xf numFmtId="0" fontId="2" fillId="10" borderId="99" xfId="0" applyFont="1" applyFill="1" applyBorder="1" applyAlignment="1">
      <alignment horizontal="center" vertical="center"/>
    </xf>
    <xf numFmtId="0" fontId="28" fillId="10" borderId="0" xfId="0" applyFont="1" applyFill="1" applyAlignment="1">
      <alignment horizontal="left"/>
    </xf>
    <xf numFmtId="0" fontId="28" fillId="10" borderId="13" xfId="0" applyFont="1" applyFill="1" applyBorder="1" applyAlignment="1">
      <alignment horizontal="left"/>
    </xf>
    <xf numFmtId="0" fontId="2" fillId="3" borderId="34" xfId="0" applyFont="1" applyFill="1" applyBorder="1" applyAlignment="1">
      <alignment horizontal="center" vertical="center"/>
    </xf>
    <xf numFmtId="0" fontId="2" fillId="3" borderId="100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2" fillId="3" borderId="101" xfId="0" applyFont="1" applyFill="1" applyBorder="1" applyAlignment="1">
      <alignment horizontal="center" vertical="center"/>
    </xf>
    <xf numFmtId="0" fontId="27" fillId="8" borderId="29" xfId="0" applyFont="1" applyFill="1" applyBorder="1" applyAlignment="1">
      <alignment horizontal="center"/>
    </xf>
    <xf numFmtId="0" fontId="28" fillId="8" borderId="25" xfId="0" applyFont="1" applyFill="1" applyBorder="1" applyAlignment="1">
      <alignment horizontal="center"/>
    </xf>
    <xf numFmtId="0" fontId="28" fillId="8" borderId="26" xfId="0" applyFont="1" applyFill="1" applyBorder="1" applyAlignment="1">
      <alignment horizontal="center"/>
    </xf>
    <xf numFmtId="0" fontId="28" fillId="3" borderId="38" xfId="0" applyFont="1" applyFill="1" applyBorder="1" applyAlignment="1" applyProtection="1">
      <alignment horizontal="center" vertical="center"/>
      <protection locked="0"/>
    </xf>
    <xf numFmtId="14" fontId="55" fillId="3" borderId="37" xfId="0" applyNumberFormat="1" applyFont="1" applyFill="1" applyBorder="1" applyAlignment="1">
      <alignment horizontal="center"/>
    </xf>
    <xf numFmtId="0" fontId="55" fillId="3" borderId="37" xfId="0" applyFont="1" applyFill="1" applyBorder="1" applyAlignment="1">
      <alignment horizontal="center"/>
    </xf>
    <xf numFmtId="0" fontId="51" fillId="3" borderId="64" xfId="0" applyFont="1" applyFill="1" applyBorder="1" applyAlignment="1">
      <alignment horizontal="left" vertical="top" wrapText="1"/>
    </xf>
    <xf numFmtId="0" fontId="51" fillId="3" borderId="0" xfId="0" applyFont="1" applyFill="1" applyAlignment="1">
      <alignment horizontal="left" vertical="top" wrapText="1"/>
    </xf>
    <xf numFmtId="0" fontId="51" fillId="3" borderId="59" xfId="0" applyFont="1" applyFill="1" applyBorder="1" applyAlignment="1">
      <alignment horizontal="left" vertical="top" wrapText="1"/>
    </xf>
    <xf numFmtId="0" fontId="46" fillId="3" borderId="0" xfId="0" applyFont="1" applyFill="1" applyAlignment="1">
      <alignment horizontal="center" vertical="center"/>
    </xf>
    <xf numFmtId="1" fontId="3" fillId="4" borderId="27" xfId="0" applyNumberFormat="1" applyFont="1" applyFill="1" applyBorder="1" applyAlignment="1" applyProtection="1">
      <alignment horizontal="center"/>
      <protection locked="0"/>
    </xf>
    <xf numFmtId="1" fontId="3" fillId="4" borderId="28" xfId="0" applyNumberFormat="1" applyFont="1" applyFill="1" applyBorder="1" applyAlignment="1" applyProtection="1">
      <alignment horizontal="center"/>
      <protection locked="0"/>
    </xf>
    <xf numFmtId="1" fontId="3" fillId="4" borderId="41" xfId="0" applyNumberFormat="1" applyFont="1" applyFill="1" applyBorder="1" applyAlignment="1" applyProtection="1">
      <alignment horizontal="center"/>
      <protection locked="0"/>
    </xf>
    <xf numFmtId="1" fontId="3" fillId="4" borderId="36" xfId="0" applyNumberFormat="1" applyFont="1" applyFill="1" applyBorder="1" applyAlignment="1" applyProtection="1">
      <alignment horizontal="center"/>
      <protection locked="0"/>
    </xf>
    <xf numFmtId="0" fontId="4" fillId="3" borderId="30" xfId="0" applyFont="1" applyFill="1" applyBorder="1" applyAlignment="1">
      <alignment horizontal="left" vertical="center"/>
    </xf>
    <xf numFmtId="0" fontId="33" fillId="15" borderId="29" xfId="0" applyFont="1" applyFill="1" applyBorder="1" applyAlignment="1">
      <alignment horizontal="center" vertical="center"/>
    </xf>
    <xf numFmtId="0" fontId="33" fillId="15" borderId="165" xfId="0" applyFont="1" applyFill="1" applyBorder="1" applyAlignment="1">
      <alignment horizontal="center" vertical="center"/>
    </xf>
    <xf numFmtId="0" fontId="17" fillId="15" borderId="30" xfId="0" quotePrefix="1" applyFont="1" applyFill="1" applyBorder="1" applyAlignment="1">
      <alignment horizontal="center" vertical="center"/>
    </xf>
    <xf numFmtId="0" fontId="34" fillId="15" borderId="166" xfId="0" applyFont="1" applyFill="1" applyBorder="1" applyAlignment="1">
      <alignment horizontal="center" vertical="center"/>
    </xf>
    <xf numFmtId="0" fontId="34" fillId="15" borderId="165" xfId="0" applyFont="1" applyFill="1" applyBorder="1" applyAlignment="1">
      <alignment horizontal="center" vertical="center"/>
    </xf>
    <xf numFmtId="0" fontId="35" fillId="15" borderId="30" xfId="0" quotePrefix="1" applyFont="1" applyFill="1" applyBorder="1" applyAlignment="1">
      <alignment horizontal="center" vertical="center"/>
    </xf>
    <xf numFmtId="0" fontId="33" fillId="15" borderId="166" xfId="0" applyFont="1" applyFill="1" applyBorder="1" applyAlignment="1">
      <alignment horizontal="center" vertical="center"/>
    </xf>
    <xf numFmtId="0" fontId="33" fillId="15" borderId="31" xfId="0" applyFont="1" applyFill="1" applyBorder="1" applyAlignment="1">
      <alignment horizontal="center" vertical="center"/>
    </xf>
    <xf numFmtId="14" fontId="60" fillId="3" borderId="37" xfId="0" applyNumberFormat="1" applyFont="1" applyFill="1" applyBorder="1" applyAlignment="1">
      <alignment horizontal="center" vertical="center"/>
    </xf>
    <xf numFmtId="0" fontId="60" fillId="3" borderId="37" xfId="0" applyFont="1" applyFill="1" applyBorder="1" applyAlignment="1">
      <alignment horizontal="center" vertical="center"/>
    </xf>
    <xf numFmtId="0" fontId="0" fillId="12" borderId="1" xfId="0" applyFill="1" applyBorder="1" applyAlignment="1">
      <alignment horizontal="right" vertical="center"/>
    </xf>
    <xf numFmtId="0" fontId="0" fillId="12" borderId="0" xfId="0" applyFill="1" applyAlignment="1">
      <alignment horizontal="right" vertical="center"/>
    </xf>
    <xf numFmtId="3" fontId="1" fillId="12" borderId="0" xfId="0" applyNumberFormat="1" applyFont="1" applyFill="1" applyAlignment="1">
      <alignment horizontal="right" vertical="center"/>
    </xf>
    <xf numFmtId="0" fontId="1" fillId="12" borderId="0" xfId="0" applyFont="1" applyFill="1" applyAlignment="1">
      <alignment horizontal="right" vertical="center"/>
    </xf>
    <xf numFmtId="0" fontId="0" fillId="12" borderId="2" xfId="0" applyFill="1" applyBorder="1" applyAlignment="1">
      <alignment horizontal="center" vertical="center"/>
    </xf>
    <xf numFmtId="0" fontId="0" fillId="30" borderId="32" xfId="0" applyFill="1" applyBorder="1" applyAlignment="1">
      <alignment horizontal="left" vertical="center"/>
    </xf>
    <xf numFmtId="0" fontId="0" fillId="30" borderId="33" xfId="0" applyFill="1" applyBorder="1" applyAlignment="1">
      <alignment horizontal="left" vertical="center"/>
    </xf>
    <xf numFmtId="0" fontId="0" fillId="30" borderId="23" xfId="0" applyFill="1" applyBorder="1" applyAlignment="1">
      <alignment horizontal="left" vertical="center"/>
    </xf>
    <xf numFmtId="3" fontId="9" fillId="7" borderId="4" xfId="0" applyNumberFormat="1" applyFont="1" applyFill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1" fontId="0" fillId="3" borderId="147" xfId="0" applyNumberFormat="1" applyFill="1" applyBorder="1" applyAlignment="1">
      <alignment horizontal="center" vertical="center"/>
    </xf>
    <xf numFmtId="1" fontId="0" fillId="3" borderId="148" xfId="0" applyNumberFormat="1" applyFill="1" applyBorder="1" applyAlignment="1">
      <alignment horizontal="center" vertical="center"/>
    </xf>
    <xf numFmtId="0" fontId="32" fillId="0" borderId="24" xfId="0" applyFont="1" applyBorder="1" applyAlignment="1">
      <alignment horizontal="left" vertical="center"/>
    </xf>
    <xf numFmtId="0" fontId="32" fillId="0" borderId="143" xfId="0" applyFont="1" applyBorder="1" applyAlignment="1">
      <alignment horizontal="left" vertical="center"/>
    </xf>
    <xf numFmtId="0" fontId="60" fillId="3" borderId="37" xfId="0" applyFont="1" applyFill="1" applyBorder="1" applyAlignment="1" applyProtection="1">
      <alignment horizontal="center" vertical="center"/>
      <protection locked="0"/>
    </xf>
    <xf numFmtId="0" fontId="68" fillId="0" borderId="50" xfId="0" applyFont="1" applyBorder="1" applyAlignment="1">
      <alignment horizontal="center" vertical="center"/>
    </xf>
    <xf numFmtId="0" fontId="68" fillId="0" borderId="60" xfId="0" applyFont="1" applyBorder="1" applyAlignment="1">
      <alignment horizontal="center" vertical="center"/>
    </xf>
    <xf numFmtId="0" fontId="68" fillId="0" borderId="48" xfId="0" applyFont="1" applyBorder="1" applyAlignment="1">
      <alignment horizontal="center" vertical="center"/>
    </xf>
    <xf numFmtId="0" fontId="68" fillId="0" borderId="58" xfId="0" applyFont="1" applyBorder="1" applyAlignment="1">
      <alignment horizontal="center" vertical="center"/>
    </xf>
    <xf numFmtId="9" fontId="34" fillId="25" borderId="160" xfId="0" quotePrefix="1" applyNumberFormat="1" applyFont="1" applyFill="1" applyBorder="1" applyAlignment="1">
      <alignment horizontal="center" vertical="center"/>
    </xf>
    <xf numFmtId="9" fontId="34" fillId="25" borderId="161" xfId="0" quotePrefix="1" applyNumberFormat="1" applyFont="1" applyFill="1" applyBorder="1" applyAlignment="1">
      <alignment horizontal="center" vertical="center"/>
    </xf>
    <xf numFmtId="0" fontId="34" fillId="25" borderId="162" xfId="0" applyFont="1" applyFill="1" applyBorder="1" applyAlignment="1">
      <alignment horizontal="center"/>
    </xf>
    <xf numFmtId="0" fontId="34" fillId="25" borderId="161" xfId="0" applyFont="1" applyFill="1" applyBorder="1" applyAlignment="1">
      <alignment horizontal="center"/>
    </xf>
    <xf numFmtId="9" fontId="34" fillId="25" borderId="147" xfId="0" applyNumberFormat="1" applyFont="1" applyFill="1" applyBorder="1" applyAlignment="1">
      <alignment horizontal="center" vertical="center"/>
    </xf>
    <xf numFmtId="3" fontId="34" fillId="14" borderId="109" xfId="0" quotePrefix="1" applyNumberFormat="1" applyFont="1" applyFill="1" applyBorder="1" applyAlignment="1">
      <alignment horizontal="center" vertical="center"/>
    </xf>
    <xf numFmtId="3" fontId="34" fillId="14" borderId="109" xfId="0" applyNumberFormat="1" applyFont="1" applyFill="1" applyBorder="1" applyAlignment="1">
      <alignment horizontal="center" vertical="center"/>
    </xf>
    <xf numFmtId="0" fontId="59" fillId="0" borderId="144" xfId="0" applyFont="1" applyBorder="1" applyAlignment="1">
      <alignment horizontal="left" vertical="center"/>
    </xf>
    <xf numFmtId="0" fontId="59" fillId="0" borderId="145" xfId="0" applyFont="1" applyBorder="1" applyAlignment="1">
      <alignment horizontal="left" vertical="center"/>
    </xf>
    <xf numFmtId="1" fontId="28" fillId="3" borderId="146" xfId="0" applyNumberFormat="1" applyFont="1" applyFill="1" applyBorder="1" applyAlignment="1">
      <alignment horizontal="center" vertical="center"/>
    </xf>
    <xf numFmtId="1" fontId="28" fillId="3" borderId="147" xfId="0" applyNumberFormat="1" applyFont="1" applyFill="1" applyBorder="1" applyAlignment="1">
      <alignment horizontal="center" vertical="center"/>
    </xf>
    <xf numFmtId="1" fontId="28" fillId="3" borderId="147" xfId="0" quotePrefix="1" applyNumberFormat="1" applyFont="1" applyFill="1" applyBorder="1" applyAlignment="1">
      <alignment horizontal="center" vertical="center"/>
    </xf>
    <xf numFmtId="0" fontId="62" fillId="3" borderId="157" xfId="0" applyFont="1" applyFill="1" applyBorder="1" applyAlignment="1" applyProtection="1">
      <alignment horizontal="center" vertical="center"/>
      <protection hidden="1"/>
    </xf>
    <xf numFmtId="0" fontId="62" fillId="3" borderId="138" xfId="0" applyFont="1" applyFill="1" applyBorder="1" applyAlignment="1" applyProtection="1">
      <alignment horizontal="center" vertical="center"/>
      <protection hidden="1"/>
    </xf>
    <xf numFmtId="1" fontId="34" fillId="26" borderId="138" xfId="0" applyNumberFormat="1" applyFont="1" applyFill="1" applyBorder="1" applyAlignment="1" applyProtection="1">
      <alignment horizontal="center" vertical="center"/>
      <protection hidden="1"/>
    </xf>
    <xf numFmtId="1" fontId="34" fillId="16" borderId="138" xfId="0" applyNumberFormat="1" applyFont="1" applyFill="1" applyBorder="1" applyAlignment="1" applyProtection="1">
      <alignment horizontal="center" vertical="center"/>
      <protection hidden="1"/>
    </xf>
    <xf numFmtId="3" fontId="2" fillId="32" borderId="12" xfId="0" applyNumberFormat="1" applyFont="1" applyFill="1" applyBorder="1" applyAlignment="1">
      <alignment horizontal="center" vertical="center"/>
    </xf>
    <xf numFmtId="3" fontId="2" fillId="32" borderId="0" xfId="0" applyNumberFormat="1" applyFont="1" applyFill="1" applyAlignment="1">
      <alignment horizontal="center" vertical="center"/>
    </xf>
    <xf numFmtId="3" fontId="2" fillId="32" borderId="2" xfId="0" applyNumberFormat="1" applyFont="1" applyFill="1" applyBorder="1" applyAlignment="1">
      <alignment horizontal="center" vertical="center"/>
    </xf>
    <xf numFmtId="3" fontId="2" fillId="32" borderId="47" xfId="0" applyNumberFormat="1" applyFont="1" applyFill="1" applyBorder="1" applyAlignment="1">
      <alignment horizontal="center" vertical="center"/>
    </xf>
    <xf numFmtId="3" fontId="2" fillId="32" borderId="4" xfId="0" applyNumberFormat="1" applyFont="1" applyFill="1" applyBorder="1" applyAlignment="1">
      <alignment horizontal="center" vertical="center"/>
    </xf>
    <xf numFmtId="3" fontId="2" fillId="32" borderId="5" xfId="0" applyNumberFormat="1" applyFont="1" applyFill="1" applyBorder="1" applyAlignment="1">
      <alignment horizontal="center" vertical="center"/>
    </xf>
    <xf numFmtId="0" fontId="2" fillId="32" borderId="1" xfId="0" applyFont="1" applyFill="1" applyBorder="1" applyAlignment="1">
      <alignment horizontal="center" vertical="center"/>
    </xf>
    <xf numFmtId="0" fontId="2" fillId="32" borderId="3" xfId="0" applyFont="1" applyFill="1" applyBorder="1" applyAlignment="1">
      <alignment horizontal="center" vertical="center"/>
    </xf>
    <xf numFmtId="0" fontId="62" fillId="3" borderId="50" xfId="0" applyFont="1" applyFill="1" applyBorder="1" applyAlignment="1" applyProtection="1">
      <alignment horizontal="center" vertical="center"/>
      <protection hidden="1"/>
    </xf>
    <xf numFmtId="0" fontId="62" fillId="3" borderId="122" xfId="0" applyFont="1" applyFill="1" applyBorder="1" applyAlignment="1" applyProtection="1">
      <alignment horizontal="center" vertical="center"/>
      <protection hidden="1"/>
    </xf>
    <xf numFmtId="165" fontId="34" fillId="26" borderId="123" xfId="0" applyNumberFormat="1" applyFont="1" applyFill="1" applyBorder="1" applyAlignment="1" applyProtection="1">
      <alignment horizontal="center" vertical="center"/>
      <protection hidden="1"/>
    </xf>
    <xf numFmtId="165" fontId="34" fillId="26" borderId="122" xfId="0" applyNumberFormat="1" applyFont="1" applyFill="1" applyBorder="1" applyAlignment="1" applyProtection="1">
      <alignment horizontal="center" vertical="center"/>
      <protection hidden="1"/>
    </xf>
    <xf numFmtId="165" fontId="34" fillId="16" borderId="123" xfId="0" applyNumberFormat="1" applyFont="1" applyFill="1" applyBorder="1" applyAlignment="1" applyProtection="1">
      <alignment horizontal="center" vertical="center"/>
      <protection hidden="1"/>
    </xf>
    <xf numFmtId="165" fontId="34" fillId="16" borderId="122" xfId="0" applyNumberFormat="1" applyFont="1" applyFill="1" applyBorder="1" applyAlignment="1" applyProtection="1">
      <alignment horizontal="center" vertical="center"/>
      <protection hidden="1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0" fillId="30" borderId="34" xfId="0" applyFill="1" applyBorder="1" applyAlignment="1">
      <alignment horizontal="right" vertical="center"/>
    </xf>
    <xf numFmtId="0" fontId="0" fillId="30" borderId="35" xfId="0" applyFill="1" applyBorder="1" applyAlignment="1">
      <alignment horizontal="right" vertical="center"/>
    </xf>
    <xf numFmtId="3" fontId="9" fillId="30" borderId="35" xfId="0" applyNumberFormat="1" applyFont="1" applyFill="1" applyBorder="1" applyAlignment="1">
      <alignment horizontal="right" vertical="center"/>
    </xf>
    <xf numFmtId="3" fontId="9" fillId="4" borderId="153" xfId="0" applyNumberFormat="1" applyFont="1" applyFill="1" applyBorder="1" applyAlignment="1" applyProtection="1">
      <alignment horizontal="right" vertical="center"/>
      <protection locked="0"/>
    </xf>
    <xf numFmtId="3" fontId="9" fillId="4" borderId="154" xfId="0" applyNumberFormat="1" applyFont="1" applyFill="1" applyBorder="1" applyAlignment="1" applyProtection="1">
      <alignment horizontal="right" vertical="center"/>
      <protection locked="0"/>
    </xf>
    <xf numFmtId="0" fontId="0" fillId="30" borderId="94" xfId="0" applyFill="1" applyBorder="1" applyAlignment="1">
      <alignment horizontal="center" vertical="center"/>
    </xf>
    <xf numFmtId="0" fontId="0" fillId="30" borderId="70" xfId="0" applyFill="1" applyBorder="1" applyAlignment="1">
      <alignment horizontal="center" vertical="center"/>
    </xf>
    <xf numFmtId="0" fontId="39" fillId="0" borderId="102" xfId="0" applyFont="1" applyBorder="1" applyAlignment="1">
      <alignment horizontal="left" vertical="center"/>
    </xf>
    <xf numFmtId="0" fontId="39" fillId="0" borderId="149" xfId="0" applyFont="1" applyBorder="1" applyAlignment="1">
      <alignment horizontal="left" vertical="center"/>
    </xf>
    <xf numFmtId="3" fontId="9" fillId="21" borderId="150" xfId="0" applyNumberFormat="1" applyFont="1" applyFill="1" applyBorder="1" applyAlignment="1">
      <alignment horizontal="center" vertical="center"/>
    </xf>
    <xf numFmtId="3" fontId="9" fillId="21" borderId="151" xfId="0" applyNumberFormat="1" applyFont="1" applyFill="1" applyBorder="1" applyAlignment="1">
      <alignment horizontal="center" vertical="center"/>
    </xf>
    <xf numFmtId="3" fontId="9" fillId="21" borderId="152" xfId="0" applyNumberFormat="1" applyFont="1" applyFill="1" applyBorder="1" applyAlignment="1">
      <alignment horizontal="center" vertical="center"/>
    </xf>
    <xf numFmtId="165" fontId="34" fillId="25" borderId="160" xfId="0" quotePrefix="1" applyNumberFormat="1" applyFont="1" applyFill="1" applyBorder="1" applyAlignment="1">
      <alignment horizontal="center" vertical="center"/>
    </xf>
    <xf numFmtId="165" fontId="34" fillId="25" borderId="161" xfId="0" quotePrefix="1" applyNumberFormat="1" applyFont="1" applyFill="1" applyBorder="1" applyAlignment="1">
      <alignment horizontal="center" vertical="center"/>
    </xf>
    <xf numFmtId="9" fontId="34" fillId="25" borderId="147" xfId="0" quotePrefix="1" applyNumberFormat="1" applyFont="1" applyFill="1" applyBorder="1" applyAlignment="1">
      <alignment horizontal="center" vertical="center"/>
    </xf>
    <xf numFmtId="165" fontId="34" fillId="25" borderId="162" xfId="0" applyNumberFormat="1" applyFont="1" applyFill="1" applyBorder="1" applyAlignment="1">
      <alignment horizontal="center"/>
    </xf>
    <xf numFmtId="165" fontId="34" fillId="25" borderId="163" xfId="0" applyNumberFormat="1" applyFont="1" applyFill="1" applyBorder="1" applyAlignment="1">
      <alignment horizontal="center"/>
    </xf>
    <xf numFmtId="9" fontId="34" fillId="25" borderId="148" xfId="0" applyNumberFormat="1" applyFont="1" applyFill="1" applyBorder="1" applyAlignment="1">
      <alignment horizontal="center" vertical="center"/>
    </xf>
    <xf numFmtId="3" fontId="34" fillId="14" borderId="135" xfId="0" applyNumberFormat="1" applyFont="1" applyFill="1" applyBorder="1" applyAlignment="1">
      <alignment horizontal="center" vertical="center"/>
    </xf>
    <xf numFmtId="0" fontId="0" fillId="34" borderId="141" xfId="0" applyFill="1" applyBorder="1" applyAlignment="1">
      <alignment horizontal="center" vertical="center"/>
    </xf>
    <xf numFmtId="0" fontId="0" fillId="12" borderId="141" xfId="0" applyFill="1" applyBorder="1" applyAlignment="1">
      <alignment horizontal="center" vertical="center"/>
    </xf>
    <xf numFmtId="0" fontId="0" fillId="12" borderId="142" xfId="0" applyFill="1" applyBorder="1" applyAlignment="1">
      <alignment horizontal="center" vertical="center"/>
    </xf>
    <xf numFmtId="1" fontId="9" fillId="10" borderId="138" xfId="0" applyNumberFormat="1" applyFont="1" applyFill="1" applyBorder="1" applyAlignment="1" applyProtection="1">
      <alignment horizontal="center" vertical="center"/>
      <protection hidden="1"/>
    </xf>
    <xf numFmtId="1" fontId="9" fillId="10" borderId="139" xfId="0" applyNumberFormat="1" applyFont="1" applyFill="1" applyBorder="1" applyAlignment="1" applyProtection="1">
      <alignment horizontal="center" vertical="center"/>
      <protection hidden="1"/>
    </xf>
    <xf numFmtId="1" fontId="2" fillId="32" borderId="0" xfId="0" applyNumberFormat="1" applyFont="1" applyFill="1" applyAlignment="1">
      <alignment horizontal="center" vertical="center"/>
    </xf>
    <xf numFmtId="1" fontId="2" fillId="32" borderId="4" xfId="0" applyNumberFormat="1" applyFont="1" applyFill="1" applyBorder="1" applyAlignment="1">
      <alignment horizontal="center" vertical="center"/>
    </xf>
    <xf numFmtId="0" fontId="62" fillId="3" borderId="48" xfId="0" applyFont="1" applyFill="1" applyBorder="1" applyAlignment="1" applyProtection="1">
      <alignment horizontal="center" vertical="center"/>
      <protection hidden="1"/>
    </xf>
    <xf numFmtId="0" fontId="62" fillId="3" borderId="101" xfId="0" applyFont="1" applyFill="1" applyBorder="1" applyAlignment="1" applyProtection="1">
      <alignment horizontal="center" vertical="center"/>
      <protection hidden="1"/>
    </xf>
    <xf numFmtId="165" fontId="34" fillId="26" borderId="158" xfId="0" applyNumberFormat="1" applyFont="1" applyFill="1" applyBorder="1" applyAlignment="1" applyProtection="1">
      <alignment horizontal="center" vertical="center"/>
      <protection hidden="1"/>
    </xf>
    <xf numFmtId="165" fontId="34" fillId="26" borderId="101" xfId="0" applyNumberFormat="1" applyFont="1" applyFill="1" applyBorder="1" applyAlignment="1" applyProtection="1">
      <alignment horizontal="center" vertical="center"/>
      <protection hidden="1"/>
    </xf>
    <xf numFmtId="165" fontId="34" fillId="16" borderId="158" xfId="0" applyNumberFormat="1" applyFont="1" applyFill="1" applyBorder="1" applyAlignment="1" applyProtection="1">
      <alignment horizontal="center" vertical="center"/>
      <protection hidden="1"/>
    </xf>
    <xf numFmtId="165" fontId="34" fillId="16" borderId="101" xfId="0" applyNumberFormat="1" applyFont="1" applyFill="1" applyBorder="1" applyAlignment="1" applyProtection="1">
      <alignment horizontal="center" vertical="center"/>
      <protection hidden="1"/>
    </xf>
    <xf numFmtId="0" fontId="0" fillId="32" borderId="0" xfId="0" applyFill="1" applyAlignment="1">
      <alignment horizontal="center" vertical="center"/>
    </xf>
    <xf numFmtId="0" fontId="0" fillId="32" borderId="4" xfId="0" applyFill="1" applyBorder="1" applyAlignment="1">
      <alignment horizontal="center" vertical="center"/>
    </xf>
    <xf numFmtId="0" fontId="17" fillId="33" borderId="140" xfId="0" applyFont="1" applyFill="1" applyBorder="1" applyAlignment="1">
      <alignment horizontal="center" vertical="center"/>
    </xf>
    <xf numFmtId="0" fontId="17" fillId="33" borderId="141" xfId="0" applyFont="1" applyFill="1" applyBorder="1" applyAlignment="1">
      <alignment horizontal="center" vertical="center"/>
    </xf>
    <xf numFmtId="0" fontId="17" fillId="27" borderId="141" xfId="0" applyFont="1" applyFill="1" applyBorder="1" applyAlignment="1">
      <alignment horizontal="center" vertical="center"/>
    </xf>
    <xf numFmtId="0" fontId="17" fillId="18" borderId="141" xfId="0" applyFont="1" applyFill="1" applyBorder="1" applyAlignment="1">
      <alignment horizontal="center" vertical="center"/>
    </xf>
    <xf numFmtId="0" fontId="17" fillId="28" borderId="141" xfId="0" applyFont="1" applyFill="1" applyBorder="1" applyAlignment="1">
      <alignment horizontal="center" vertical="center"/>
    </xf>
    <xf numFmtId="0" fontId="17" fillId="29" borderId="141" xfId="0" applyFont="1" applyFill="1" applyBorder="1" applyAlignment="1">
      <alignment horizontal="center" vertical="center"/>
    </xf>
    <xf numFmtId="3" fontId="34" fillId="14" borderId="108" xfId="0" applyNumberFormat="1" applyFont="1" applyFill="1" applyBorder="1" applyAlignment="1">
      <alignment horizontal="center" vertical="center"/>
    </xf>
    <xf numFmtId="165" fontId="9" fillId="10" borderId="123" xfId="0" applyNumberFormat="1" applyFont="1" applyFill="1" applyBorder="1" applyAlignment="1" applyProtection="1">
      <alignment horizontal="center" vertical="center"/>
      <protection hidden="1"/>
    </xf>
    <xf numFmtId="165" fontId="9" fillId="10" borderId="46" xfId="0" applyNumberFormat="1" applyFont="1" applyFill="1" applyBorder="1" applyAlignment="1" applyProtection="1">
      <alignment horizontal="center" vertical="center"/>
      <protection hidden="1"/>
    </xf>
    <xf numFmtId="165" fontId="9" fillId="10" borderId="158" xfId="0" applyNumberFormat="1" applyFont="1" applyFill="1" applyBorder="1" applyAlignment="1" applyProtection="1">
      <alignment horizontal="center" vertical="center"/>
      <protection hidden="1"/>
    </xf>
    <xf numFmtId="165" fontId="9" fillId="10" borderId="49" xfId="0" applyNumberFormat="1" applyFont="1" applyFill="1" applyBorder="1" applyAlignment="1" applyProtection="1">
      <alignment horizontal="center" vertical="center"/>
      <protection hidden="1"/>
    </xf>
    <xf numFmtId="0" fontId="54" fillId="5" borderId="4" xfId="0" applyFont="1" applyFill="1" applyBorder="1" applyAlignment="1">
      <alignment horizontal="center" vertical="center"/>
    </xf>
    <xf numFmtId="0" fontId="54" fillId="5" borderId="5" xfId="0" applyFont="1" applyFill="1" applyBorder="1" applyAlignment="1">
      <alignment horizontal="center" vertical="center"/>
    </xf>
    <xf numFmtId="0" fontId="63" fillId="3" borderId="29" xfId="0" applyFont="1" applyFill="1" applyBorder="1" applyAlignment="1">
      <alignment horizontal="center" vertical="center"/>
    </xf>
    <xf numFmtId="0" fontId="63" fillId="3" borderId="30" xfId="0" applyFont="1" applyFill="1" applyBorder="1" applyAlignment="1">
      <alignment horizontal="center" vertical="center"/>
    </xf>
    <xf numFmtId="0" fontId="63" fillId="3" borderId="31" xfId="0" applyFont="1" applyFill="1" applyBorder="1" applyAlignment="1">
      <alignment horizontal="center" vertical="center"/>
    </xf>
    <xf numFmtId="0" fontId="14" fillId="3" borderId="117" xfId="0" applyFont="1" applyFill="1" applyBorder="1" applyAlignment="1" applyProtection="1">
      <alignment horizontal="center" vertical="center"/>
      <protection hidden="1"/>
    </xf>
    <xf numFmtId="0" fontId="14" fillId="3" borderId="118" xfId="0" applyFont="1" applyFill="1" applyBorder="1" applyAlignment="1" applyProtection="1">
      <alignment horizontal="center" vertical="center"/>
      <protection hidden="1"/>
    </xf>
    <xf numFmtId="0" fontId="14" fillId="3" borderId="119" xfId="0" applyFont="1" applyFill="1" applyBorder="1" applyAlignment="1" applyProtection="1">
      <alignment horizontal="center" vertical="center"/>
      <protection hidden="1"/>
    </xf>
    <xf numFmtId="0" fontId="17" fillId="31" borderId="133" xfId="0" applyFont="1" applyFill="1" applyBorder="1" applyAlignment="1">
      <alignment horizontal="center" vertical="center"/>
    </xf>
    <xf numFmtId="0" fontId="17" fillId="31" borderId="164" xfId="0" applyFont="1" applyFill="1" applyBorder="1" applyAlignment="1">
      <alignment horizontal="center" vertical="center"/>
    </xf>
    <xf numFmtId="0" fontId="17" fillId="31" borderId="153" xfId="0" applyFont="1" applyFill="1" applyBorder="1" applyAlignment="1">
      <alignment horizontal="center" vertical="center"/>
    </xf>
    <xf numFmtId="0" fontId="17" fillId="31" borderId="156" xfId="0" applyFont="1" applyFill="1" applyBorder="1" applyAlignment="1">
      <alignment horizontal="center" vertical="center"/>
    </xf>
    <xf numFmtId="0" fontId="35" fillId="26" borderId="133" xfId="0" applyFont="1" applyFill="1" applyBorder="1" applyAlignment="1" applyProtection="1">
      <alignment horizontal="center" vertical="center"/>
      <protection hidden="1"/>
    </xf>
    <xf numFmtId="0" fontId="35" fillId="26" borderId="134" xfId="0" applyFont="1" applyFill="1" applyBorder="1" applyAlignment="1" applyProtection="1">
      <alignment horizontal="center" vertical="center"/>
      <protection hidden="1"/>
    </xf>
    <xf numFmtId="3" fontId="15" fillId="26" borderId="155" xfId="0" applyNumberFormat="1" applyFont="1" applyFill="1" applyBorder="1" applyAlignment="1" applyProtection="1">
      <alignment horizontal="center" vertical="center"/>
      <protection hidden="1"/>
    </xf>
    <xf numFmtId="3" fontId="15" fillId="26" borderId="134" xfId="0" applyNumberFormat="1" applyFont="1" applyFill="1" applyBorder="1" applyAlignment="1" applyProtection="1">
      <alignment horizontal="center" vertical="center"/>
      <protection hidden="1"/>
    </xf>
    <xf numFmtId="3" fontId="15" fillId="16" borderId="155" xfId="0" applyNumberFormat="1" applyFont="1" applyFill="1" applyBorder="1" applyAlignment="1" applyProtection="1">
      <alignment horizontal="center" vertical="center"/>
      <protection hidden="1"/>
    </xf>
    <xf numFmtId="3" fontId="15" fillId="16" borderId="134" xfId="0" applyNumberFormat="1" applyFont="1" applyFill="1" applyBorder="1" applyAlignment="1" applyProtection="1">
      <alignment horizontal="center" vertical="center"/>
      <protection hidden="1"/>
    </xf>
    <xf numFmtId="3" fontId="14" fillId="10" borderId="155" xfId="0" applyNumberFormat="1" applyFont="1" applyFill="1" applyBorder="1" applyAlignment="1" applyProtection="1">
      <alignment horizontal="center" vertical="center"/>
      <protection hidden="1"/>
    </xf>
    <xf numFmtId="3" fontId="14" fillId="10" borderId="156" xfId="0" applyNumberFormat="1" applyFont="1" applyFill="1" applyBorder="1" applyAlignment="1" applyProtection="1">
      <alignment horizontal="center" vertical="center"/>
      <protection hidden="1"/>
    </xf>
    <xf numFmtId="0" fontId="61" fillId="5" borderId="30" xfId="0" applyFont="1" applyFill="1" applyBorder="1" applyAlignment="1">
      <alignment horizontal="center" vertical="center"/>
    </xf>
    <xf numFmtId="0" fontId="61" fillId="5" borderId="4" xfId="0" applyFont="1" applyFill="1" applyBorder="1" applyAlignment="1">
      <alignment horizontal="center" vertical="center"/>
    </xf>
    <xf numFmtId="0" fontId="56" fillId="5" borderId="29" xfId="0" applyFont="1" applyFill="1" applyBorder="1" applyAlignment="1">
      <alignment horizontal="center" vertical="center"/>
    </xf>
    <xf numFmtId="0" fontId="56" fillId="5" borderId="30" xfId="0" applyFont="1" applyFill="1" applyBorder="1" applyAlignment="1">
      <alignment horizontal="center" vertical="center"/>
    </xf>
    <xf numFmtId="0" fontId="56" fillId="5" borderId="3" xfId="0" applyFont="1" applyFill="1" applyBorder="1" applyAlignment="1">
      <alignment horizontal="center" vertical="center"/>
    </xf>
    <xf numFmtId="0" fontId="56" fillId="5" borderId="4" xfId="0" applyFont="1" applyFill="1" applyBorder="1" applyAlignment="1">
      <alignment horizontal="center" vertical="center"/>
    </xf>
    <xf numFmtId="0" fontId="2" fillId="0" borderId="132" xfId="0" applyFont="1" applyBorder="1" applyAlignment="1">
      <alignment horizontal="center" vertical="center"/>
    </xf>
    <xf numFmtId="0" fontId="2" fillId="0" borderId="136" xfId="0" applyFont="1" applyBorder="1" applyAlignment="1">
      <alignment horizontal="center" vertical="center"/>
    </xf>
    <xf numFmtId="0" fontId="2" fillId="0" borderId="137" xfId="0" applyFont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3" fillId="17" borderId="29" xfId="0" applyFont="1" applyFill="1" applyBorder="1" applyAlignment="1">
      <alignment horizontal="center" vertical="center"/>
    </xf>
    <xf numFmtId="0" fontId="13" fillId="17" borderId="30" xfId="0" applyFont="1" applyFill="1" applyBorder="1" applyAlignment="1">
      <alignment horizontal="center" vertical="center"/>
    </xf>
    <xf numFmtId="0" fontId="13" fillId="17" borderId="31" xfId="0" applyFont="1" applyFill="1" applyBorder="1" applyAlignment="1">
      <alignment horizontal="center" vertical="center"/>
    </xf>
    <xf numFmtId="0" fontId="13" fillId="17" borderId="32" xfId="0" applyFont="1" applyFill="1" applyBorder="1" applyAlignment="1">
      <alignment horizontal="center" vertical="center"/>
    </xf>
    <xf numFmtId="0" fontId="13" fillId="17" borderId="33" xfId="0" applyFont="1" applyFill="1" applyBorder="1" applyAlignment="1">
      <alignment horizontal="center" vertical="center"/>
    </xf>
    <xf numFmtId="0" fontId="13" fillId="17" borderId="23" xfId="0" applyFont="1" applyFill="1" applyBorder="1" applyAlignment="1">
      <alignment horizontal="center" vertical="center"/>
    </xf>
    <xf numFmtId="0" fontId="2" fillId="5" borderId="41" xfId="0" applyFont="1" applyFill="1" applyBorder="1" applyAlignment="1">
      <alignment horizontal="center"/>
    </xf>
    <xf numFmtId="0" fontId="2" fillId="5" borderId="42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4" fillId="0" borderId="77" xfId="0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0" fontId="15" fillId="19" borderId="80" xfId="0" applyFont="1" applyFill="1" applyBorder="1" applyAlignment="1">
      <alignment horizontal="center"/>
    </xf>
    <xf numFmtId="0" fontId="15" fillId="19" borderId="0" xfId="0" applyFont="1" applyFill="1" applyAlignment="1">
      <alignment horizontal="center"/>
    </xf>
    <xf numFmtId="0" fontId="15" fillId="19" borderId="81" xfId="0" applyFont="1" applyFill="1" applyBorder="1" applyAlignment="1">
      <alignment horizontal="center"/>
    </xf>
    <xf numFmtId="0" fontId="14" fillId="5" borderId="13" xfId="0" applyFont="1" applyFill="1" applyBorder="1" applyAlignment="1">
      <alignment horizontal="center" vertical="center"/>
    </xf>
    <xf numFmtId="0" fontId="14" fillId="5" borderId="43" xfId="0" applyFont="1" applyFill="1" applyBorder="1" applyAlignment="1">
      <alignment horizontal="center" vertical="center"/>
    </xf>
    <xf numFmtId="0" fontId="14" fillId="5" borderId="44" xfId="0" applyFont="1" applyFill="1" applyBorder="1" applyAlignment="1">
      <alignment horizontal="center" vertical="center"/>
    </xf>
    <xf numFmtId="0" fontId="13" fillId="17" borderId="1" xfId="0" applyFont="1" applyFill="1" applyBorder="1" applyAlignment="1">
      <alignment horizontal="center" vertical="center"/>
    </xf>
    <xf numFmtId="0" fontId="13" fillId="17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3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46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5" fontId="0" fillId="0" borderId="44" xfId="0" applyNumberFormat="1" applyBorder="1" applyAlignment="1">
      <alignment horizontal="center"/>
    </xf>
    <xf numFmtId="165" fontId="0" fillId="0" borderId="63" xfId="0" applyNumberFormat="1" applyBorder="1" applyAlignment="1">
      <alignment horizontal="center"/>
    </xf>
    <xf numFmtId="165" fontId="0" fillId="0" borderId="58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10" borderId="43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0" borderId="6" xfId="0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64" xfId="0" applyNumberFormat="1" applyBorder="1" applyAlignment="1">
      <alignment horizontal="center"/>
    </xf>
    <xf numFmtId="165" fontId="0" fillId="0" borderId="59" xfId="0" applyNumberFormat="1" applyBorder="1" applyAlignment="1">
      <alignment horizont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6" xfId="0" applyBorder="1" applyAlignment="1">
      <alignment horizontal="center" vertical="center" textRotation="90"/>
    </xf>
    <xf numFmtId="0" fontId="0" fillId="0" borderId="0" xfId="0" applyAlignment="1">
      <alignment horizontal="left"/>
    </xf>
    <xf numFmtId="0" fontId="0" fillId="0" borderId="9" xfId="0" applyBorder="1" applyAlignment="1">
      <alignment horizontal="center" vertical="center" textRotation="90"/>
    </xf>
    <xf numFmtId="0" fontId="0" fillId="0" borderId="10" xfId="0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1" fillId="0" borderId="111" xfId="0" applyFont="1" applyBorder="1" applyAlignment="1">
      <alignment horizontal="center" vertical="center"/>
    </xf>
    <xf numFmtId="0" fontId="21" fillId="0" borderId="112" xfId="0" applyFont="1" applyBorder="1" applyAlignment="1">
      <alignment horizontal="center" vertical="center"/>
    </xf>
    <xf numFmtId="0" fontId="25" fillId="0" borderId="113" xfId="0" applyFont="1" applyBorder="1" applyAlignment="1">
      <alignment horizontal="center"/>
    </xf>
    <xf numFmtId="0" fontId="25" fillId="0" borderId="114" xfId="0" applyFont="1" applyBorder="1" applyAlignment="1">
      <alignment horizontal="center"/>
    </xf>
    <xf numFmtId="0" fontId="0" fillId="10" borderId="27" xfId="0" applyFill="1" applyBorder="1" applyAlignment="1">
      <alignment horizontal="center"/>
    </xf>
    <xf numFmtId="0" fontId="0" fillId="10" borderId="68" xfId="0" applyFill="1" applyBorder="1" applyAlignment="1">
      <alignment horizontal="center"/>
    </xf>
    <xf numFmtId="0" fontId="0" fillId="10" borderId="28" xfId="0" applyFill="1" applyBorder="1" applyAlignment="1">
      <alignment horizontal="center"/>
    </xf>
  </cellXfs>
  <cellStyles count="1">
    <cellStyle name="Normal" xfId="0" builtinId="0"/>
  </cellStyles>
  <dxfs count="51"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/>
        <color rgb="FFC00000"/>
      </font>
      <fill>
        <patternFill>
          <bgColor rgb="FFFFC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/>
        <color rgb="FFC00000"/>
      </font>
      <fill>
        <patternFill>
          <bgColor rgb="FFFFC000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/>
        <color theme="0"/>
      </font>
      <fill>
        <patternFill>
          <bgColor rgb="FFC0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/>
        <color rgb="FFC00000"/>
      </font>
      <fill>
        <patternFill>
          <bgColor rgb="FFFFC000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/>
        <color rgb="FFC00000"/>
      </font>
      <fill>
        <patternFill>
          <bgColor rgb="FFFFC000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/>
        <color rgb="FFC00000"/>
      </font>
      <fill>
        <patternFill>
          <bgColor rgb="FFFFC000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/>
        <color theme="0"/>
      </font>
      <fill>
        <patternFill>
          <bgColor rgb="FFC00000"/>
        </patternFill>
      </fill>
    </dxf>
    <dxf>
      <font>
        <b/>
        <i/>
        <color rgb="FFC00000"/>
      </font>
      <fill>
        <patternFill>
          <bgColor rgb="FFFFC000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/>
        <color rgb="FFC00000"/>
      </font>
      <fill>
        <patternFill>
          <bgColor rgb="FFFFC000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/>
        <color rgb="FFC00000"/>
      </font>
      <fill>
        <patternFill>
          <bgColor rgb="FFFFC000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/>
        <color rgb="FFC00000"/>
      </font>
      <fill>
        <patternFill>
          <bgColor rgb="FFFFC000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theme="0"/>
      </font>
      <fill>
        <patternFill>
          <bgColor rgb="FFC0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21645247213949E-2"/>
          <c:y val="0.21069922352291987"/>
          <c:w val="0.74855660092042309"/>
          <c:h val="0.75581845414055437"/>
        </c:manualLayout>
      </c:layout>
      <c:scatterChart>
        <c:scatterStyle val="lineMarker"/>
        <c:varyColors val="0"/>
        <c:ser>
          <c:idx val="0"/>
          <c:order val="0"/>
          <c:tx>
            <c:v>All Up Mass</c:v>
          </c:tx>
          <c:spPr>
            <a:ln>
              <a:noFill/>
            </a:ln>
          </c:spPr>
          <c:marker>
            <c:symbol val="x"/>
            <c:size val="15"/>
            <c:spPr>
              <a:noFill/>
            </c:spPr>
          </c:marker>
          <c:dPt>
            <c:idx val="0"/>
            <c:marker>
              <c:spPr>
                <a:noFill/>
                <a:ln w="19050"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4530-493A-800B-46AA5AE95E9C}"/>
              </c:ext>
            </c:extLst>
          </c:dPt>
          <c:xVal>
            <c:numRef>
              <c:f>'R22 beta II'!$C$24</c:f>
              <c:numCache>
                <c:formatCode>0.000</c:formatCode>
                <c:ptCount val="1"/>
                <c:pt idx="0">
                  <c:v>96.419594257530889</c:v>
                </c:pt>
              </c:numCache>
            </c:numRef>
          </c:xVal>
          <c:yVal>
            <c:numRef>
              <c:f>SpecData!$D$71</c:f>
              <c:numCache>
                <c:formatCode>General</c:formatCode>
                <c:ptCount val="1"/>
                <c:pt idx="0">
                  <c:v>1226.2271676964074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30-493A-800B-46AA5AE95E9C}"/>
            </c:ext>
          </c:extLst>
        </c:ser>
        <c:ser>
          <c:idx val="2"/>
          <c:order val="1"/>
          <c:tx>
            <c:v>Landing Mass</c:v>
          </c:tx>
          <c:spPr>
            <a:ln>
              <a:noFill/>
            </a:ln>
          </c:spPr>
          <c:marker>
            <c:symbol val="x"/>
            <c:size val="15"/>
            <c:spPr>
              <a:ln w="19050"/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3-79B5-4676-888F-BEC99CE48C9A}"/>
              </c:ext>
            </c:extLst>
          </c:dPt>
          <c:xVal>
            <c:numRef>
              <c:f>'R22 beta II'!$C$20:$D$20</c:f>
              <c:numCache>
                <c:formatCode>0.000</c:formatCode>
                <c:ptCount val="2"/>
                <c:pt idx="0">
                  <c:v>96.419594257530889</c:v>
                </c:pt>
              </c:numCache>
            </c:numRef>
          </c:xVal>
          <c:yVal>
            <c:numRef>
              <c:f>SpecData!$D$69</c:f>
              <c:numCache>
                <c:formatCode>General</c:formatCode>
                <c:ptCount val="1"/>
                <c:pt idx="0">
                  <c:v>1226.2271676964074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9B5-4676-888F-BEC99CE48C9A}"/>
            </c:ext>
          </c:extLst>
        </c:ser>
        <c:ser>
          <c:idx val="1"/>
          <c:order val="2"/>
          <c:tx>
            <c:v>Zero Fuel Mass</c:v>
          </c:tx>
          <c:spPr>
            <a:ln>
              <a:noFill/>
            </a:ln>
          </c:spPr>
          <c:marker>
            <c:symbol val="x"/>
            <c:size val="15"/>
            <c:spPr>
              <a:ln w="19050"/>
            </c:spPr>
          </c:marker>
          <c:xVal>
            <c:numRef>
              <c:f>'R22 beta II'!$C$15</c:f>
              <c:numCache>
                <c:formatCode>0.000</c:formatCode>
                <c:ptCount val="1"/>
                <c:pt idx="0">
                  <c:v>96.419594257530889</c:v>
                </c:pt>
              </c:numCache>
            </c:numRef>
          </c:xVal>
          <c:yVal>
            <c:numRef>
              <c:f>SpecData!$D$63</c:f>
              <c:numCache>
                <c:formatCode>General</c:formatCode>
                <c:ptCount val="1"/>
                <c:pt idx="0">
                  <c:v>1226.2271676964074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30-493A-800B-46AA5AE95E9C}"/>
            </c:ext>
          </c:extLst>
        </c:ser>
        <c:ser>
          <c:idx val="3"/>
          <c:order val="3"/>
          <c:tx>
            <c:v>Longitudinal Limits</c:v>
          </c:tx>
          <c:spPr>
            <a:ln w="22225">
              <a:solidFill>
                <a:schemeClr val="tx1">
                  <a:lumMod val="95000"/>
                  <a:lumOff val="5000"/>
                </a:schemeClr>
              </a:solidFill>
            </a:ln>
          </c:spPr>
          <c:marker>
            <c:symbol val="circle"/>
            <c:size val="2"/>
            <c:spPr>
              <a:solidFill>
                <a:schemeClr val="tx1">
                  <a:lumMod val="95000"/>
                  <a:lumOff val="5000"/>
                </a:schemeClr>
              </a:solidFill>
              <a:ln w="0">
                <a:solidFill>
                  <a:schemeClr val="tx1">
                    <a:lumMod val="95000"/>
                    <a:lumOff val="5000"/>
                  </a:schemeClr>
                </a:solidFill>
              </a:ln>
            </c:spPr>
          </c:marker>
          <c:xVal>
            <c:numRef>
              <c:f>SpecData!$A$87:$A$93</c:f>
              <c:numCache>
                <c:formatCode>General</c:formatCode>
                <c:ptCount val="7"/>
                <c:pt idx="0">
                  <c:v>95.5</c:v>
                </c:pt>
                <c:pt idx="1">
                  <c:v>95.5</c:v>
                </c:pt>
                <c:pt idx="2">
                  <c:v>96.5</c:v>
                </c:pt>
                <c:pt idx="3">
                  <c:v>100</c:v>
                </c:pt>
                <c:pt idx="4">
                  <c:v>102</c:v>
                </c:pt>
                <c:pt idx="5">
                  <c:v>102</c:v>
                </c:pt>
                <c:pt idx="6">
                  <c:v>95.5</c:v>
                </c:pt>
              </c:numCache>
            </c:numRef>
          </c:xVal>
          <c:yVal>
            <c:numRef>
              <c:f>SpecData!$B$87:$B$93</c:f>
              <c:numCache>
                <c:formatCode>General</c:formatCode>
                <c:ptCount val="7"/>
                <c:pt idx="0">
                  <c:v>925</c:v>
                </c:pt>
                <c:pt idx="1">
                  <c:v>1275</c:v>
                </c:pt>
                <c:pt idx="2">
                  <c:v>1370</c:v>
                </c:pt>
                <c:pt idx="3">
                  <c:v>1370</c:v>
                </c:pt>
                <c:pt idx="4">
                  <c:v>1175</c:v>
                </c:pt>
                <c:pt idx="5">
                  <c:v>925</c:v>
                </c:pt>
                <c:pt idx="6">
                  <c:v>925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F8-4D31-9D18-6CDD41F3D3FE}"/>
            </c:ext>
          </c:extLst>
        </c:ser>
        <c:ser>
          <c:idx val="4"/>
          <c:order val="4"/>
          <c:tx>
            <c:v>Main Rotor</c:v>
          </c:tx>
          <c:spPr>
            <a:ln w="22225">
              <a:solidFill>
                <a:schemeClr val="bg1">
                  <a:lumMod val="50000"/>
                </a:schemeClr>
              </a:solidFill>
            </a:ln>
          </c:spPr>
          <c:marker>
            <c:symbol val="circle"/>
            <c:size val="2"/>
            <c:spPr>
              <a:noFill/>
              <a:ln w="0">
                <a:solidFill>
                  <a:schemeClr val="bg1">
                    <a:lumMod val="50000"/>
                  </a:schemeClr>
                </a:solidFill>
              </a:ln>
            </c:spPr>
          </c:marker>
          <c:xVal>
            <c:numRef>
              <c:f>SpecData!$A$99:$A$100</c:f>
              <c:numCache>
                <c:formatCode>General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xVal>
          <c:yVal>
            <c:numRef>
              <c:f>SpecData!$B$99:$B$100</c:f>
              <c:numCache>
                <c:formatCode>General</c:formatCode>
                <c:ptCount val="2"/>
                <c:pt idx="0">
                  <c:v>800</c:v>
                </c:pt>
                <c:pt idx="1">
                  <c:v>1500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FF8-4D31-9D18-6CDD41F3D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557248"/>
        <c:axId val="85559168"/>
      </c:scatterChart>
      <c:valAx>
        <c:axId val="85557248"/>
        <c:scaling>
          <c:orientation val="minMax"/>
          <c:max val="103"/>
          <c:min val="95"/>
        </c:scaling>
        <c:delete val="0"/>
        <c:axPos val="b"/>
        <c:majorGridlines/>
        <c:numFmt formatCode="0" sourceLinked="0"/>
        <c:majorTickMark val="out"/>
        <c:minorTickMark val="none"/>
        <c:tickLblPos val="high"/>
        <c:crossAx val="85559168"/>
        <c:crosses val="autoZero"/>
        <c:crossBetween val="midCat"/>
        <c:majorUnit val="1"/>
      </c:valAx>
      <c:valAx>
        <c:axId val="85559168"/>
        <c:scaling>
          <c:orientation val="minMax"/>
          <c:max val="1400"/>
          <c:min val="9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5557248"/>
        <c:crosses val="autoZero"/>
        <c:crossBetween val="midCat"/>
        <c:majorUnit val="100"/>
      </c:valAx>
      <c:spPr>
        <a:ln w="28575"/>
      </c:spPr>
    </c:plotArea>
    <c:legend>
      <c:legendPos val="r"/>
      <c:legendEntry>
        <c:idx val="0"/>
        <c:txPr>
          <a:bodyPr/>
          <a:lstStyle/>
          <a:p>
            <a:pPr>
              <a:defRPr sz="700" b="1" i="1"/>
            </a:pPr>
            <a:endParaRPr lang="fr-FR"/>
          </a:p>
        </c:txPr>
      </c:legendEntry>
      <c:legendEntry>
        <c:idx val="2"/>
        <c:txPr>
          <a:bodyPr/>
          <a:lstStyle/>
          <a:p>
            <a:pPr>
              <a:defRPr sz="700" b="1" i="1"/>
            </a:pPr>
            <a:endParaRPr lang="fr-FR"/>
          </a:p>
        </c:txPr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83369869989323664"/>
          <c:y val="0.76906389184501989"/>
          <c:w val="0.16543954212047121"/>
          <c:h val="0.21713964762918292"/>
        </c:manualLayout>
      </c:layout>
      <c:overlay val="1"/>
      <c:spPr>
        <a:noFill/>
      </c:spPr>
      <c:txPr>
        <a:bodyPr/>
        <a:lstStyle/>
        <a:p>
          <a:pPr>
            <a:defRPr sz="700" b="1" i="1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21645247213949E-2"/>
          <c:y val="0.11163056567067282"/>
          <c:w val="0.7485566189325078"/>
          <c:h val="0.8961083623013445"/>
        </c:manualLayout>
      </c:layout>
      <c:scatterChart>
        <c:scatterStyle val="lineMarker"/>
        <c:varyColors val="0"/>
        <c:ser>
          <c:idx val="0"/>
          <c:order val="0"/>
          <c:tx>
            <c:v>All Up Mass</c:v>
          </c:tx>
          <c:spPr>
            <a:ln w="19050">
              <a:solidFill>
                <a:schemeClr val="tx1"/>
              </a:solidFill>
            </a:ln>
          </c:spPr>
          <c:marker>
            <c:symbol val="x"/>
            <c:size val="15"/>
            <c:spPr>
              <a:ln w="19050"/>
            </c:spPr>
          </c:marker>
          <c:xVal>
            <c:numRef>
              <c:f>'R22 beta II'!$C$24</c:f>
              <c:numCache>
                <c:formatCode>0.000</c:formatCode>
                <c:ptCount val="1"/>
                <c:pt idx="0">
                  <c:v>96.419594257530889</c:v>
                </c:pt>
              </c:numCache>
            </c:numRef>
          </c:xVal>
          <c:yVal>
            <c:numRef>
              <c:f>'R22 beta II'!$H$24</c:f>
              <c:numCache>
                <c:formatCode>0.000</c:formatCode>
                <c:ptCount val="1"/>
                <c:pt idx="0">
                  <c:v>0.31738812544279149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F1-4AEF-8784-4160798EDE01}"/>
            </c:ext>
          </c:extLst>
        </c:ser>
        <c:ser>
          <c:idx val="2"/>
          <c:order val="1"/>
          <c:tx>
            <c:v>Landing Mass</c:v>
          </c:tx>
          <c:marker>
            <c:symbol val="x"/>
            <c:size val="15"/>
            <c:spPr>
              <a:ln w="19050"/>
            </c:spPr>
          </c:marker>
          <c:xVal>
            <c:numRef>
              <c:f>'R22 beta II'!$C$20:$D$20</c:f>
              <c:numCache>
                <c:formatCode>0.000</c:formatCode>
                <c:ptCount val="2"/>
                <c:pt idx="0">
                  <c:v>96.419594257530889</c:v>
                </c:pt>
              </c:numCache>
            </c:numRef>
          </c:xVal>
          <c:yVal>
            <c:numRef>
              <c:f>'R22 beta II'!$H$20:$J$20</c:f>
              <c:numCache>
                <c:formatCode>0.000</c:formatCode>
                <c:ptCount val="3"/>
                <c:pt idx="0">
                  <c:v>0.31738812544279149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AA6-4946-94ED-8137437AB0AD}"/>
            </c:ext>
          </c:extLst>
        </c:ser>
        <c:ser>
          <c:idx val="1"/>
          <c:order val="2"/>
          <c:tx>
            <c:v>Zero Fuel Mass</c:v>
          </c:tx>
          <c:spPr>
            <a:ln w="28575">
              <a:noFill/>
            </a:ln>
          </c:spPr>
          <c:marker>
            <c:symbol val="x"/>
            <c:size val="14"/>
          </c:marker>
          <c:dPt>
            <c:idx val="0"/>
            <c:marker>
              <c:symbol val="x"/>
              <c:size val="15"/>
              <c:spPr>
                <a:ln w="19050"/>
              </c:spPr>
            </c:marker>
            <c:bubble3D val="0"/>
            <c:spPr>
              <a:ln w="190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6DF1-4AEF-8784-4160798EDE01}"/>
              </c:ext>
            </c:extLst>
          </c:dPt>
          <c:xVal>
            <c:numRef>
              <c:f>'R22 beta II'!$C$15</c:f>
              <c:numCache>
                <c:formatCode>0.000</c:formatCode>
                <c:ptCount val="1"/>
                <c:pt idx="0">
                  <c:v>96.419594257530889</c:v>
                </c:pt>
              </c:numCache>
            </c:numRef>
          </c:xVal>
          <c:yVal>
            <c:numRef>
              <c:f>'R22 beta II'!$H$15</c:f>
              <c:numCache>
                <c:formatCode>0.000</c:formatCode>
                <c:ptCount val="1"/>
                <c:pt idx="0">
                  <c:v>0.31738812544279149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DF1-4AEF-8784-4160798EDE01}"/>
            </c:ext>
          </c:extLst>
        </c:ser>
        <c:ser>
          <c:idx val="3"/>
          <c:order val="3"/>
          <c:tx>
            <c:v>Lateral Limits</c:v>
          </c:tx>
          <c:spPr>
            <a:ln w="22225">
              <a:solidFill>
                <a:schemeClr val="tx1">
                  <a:lumMod val="95000"/>
                  <a:lumOff val="5000"/>
                </a:schemeClr>
              </a:solidFill>
            </a:ln>
          </c:spPr>
          <c:marker>
            <c:symbol val="circle"/>
            <c:size val="2"/>
            <c:spPr>
              <a:solidFill>
                <a:schemeClr val="tx1">
                  <a:lumMod val="95000"/>
                  <a:lumOff val="5000"/>
                </a:schemeClr>
              </a:solidFill>
              <a:ln w="0">
                <a:solidFill>
                  <a:schemeClr val="tx1">
                    <a:lumMod val="95000"/>
                    <a:lumOff val="5000"/>
                  </a:schemeClr>
                </a:solidFill>
              </a:ln>
            </c:spPr>
          </c:marker>
          <c:xVal>
            <c:numRef>
              <c:f>SpecData!$C$87:$C$94</c:f>
              <c:numCache>
                <c:formatCode>General</c:formatCode>
                <c:ptCount val="8"/>
                <c:pt idx="0">
                  <c:v>95.5</c:v>
                </c:pt>
                <c:pt idx="1">
                  <c:v>95.5</c:v>
                </c:pt>
                <c:pt idx="2">
                  <c:v>98</c:v>
                </c:pt>
                <c:pt idx="3">
                  <c:v>102</c:v>
                </c:pt>
                <c:pt idx="4">
                  <c:v>102</c:v>
                </c:pt>
                <c:pt idx="5">
                  <c:v>98</c:v>
                </c:pt>
                <c:pt idx="6">
                  <c:v>97</c:v>
                </c:pt>
                <c:pt idx="7">
                  <c:v>95.5</c:v>
                </c:pt>
              </c:numCache>
            </c:numRef>
          </c:xVal>
          <c:yVal>
            <c:numRef>
              <c:f>SpecData!$D$87:$D$94</c:f>
              <c:numCache>
                <c:formatCode>General</c:formatCode>
                <c:ptCount val="8"/>
                <c:pt idx="0">
                  <c:v>-0.8</c:v>
                </c:pt>
                <c:pt idx="1">
                  <c:v>1</c:v>
                </c:pt>
                <c:pt idx="2">
                  <c:v>2.6</c:v>
                </c:pt>
                <c:pt idx="3">
                  <c:v>1.2</c:v>
                </c:pt>
                <c:pt idx="4">
                  <c:v>-0.5</c:v>
                </c:pt>
                <c:pt idx="5">
                  <c:v>-2.2000000000000002</c:v>
                </c:pt>
                <c:pt idx="6">
                  <c:v>-2.2000000000000002</c:v>
                </c:pt>
                <c:pt idx="7">
                  <c:v>-0.8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D0D-43EC-A716-25450E7175C6}"/>
            </c:ext>
          </c:extLst>
        </c:ser>
        <c:ser>
          <c:idx val="4"/>
          <c:order val="4"/>
          <c:tx>
            <c:v>Main Rotor</c:v>
          </c:tx>
          <c:spPr>
            <a:ln w="22225">
              <a:solidFill>
                <a:schemeClr val="bg1">
                  <a:lumMod val="50000"/>
                </a:schemeClr>
              </a:solidFill>
            </a:ln>
          </c:spPr>
          <c:marker>
            <c:symbol val="circle"/>
            <c:size val="2"/>
            <c:spPr>
              <a:noFill/>
              <a:ln w="0">
                <a:solidFill>
                  <a:schemeClr val="bg1">
                    <a:lumMod val="50000"/>
                  </a:schemeClr>
                </a:solidFill>
              </a:ln>
            </c:spPr>
          </c:marker>
          <c:xVal>
            <c:numRef>
              <c:f>SpecData!$C$99:$C$100</c:f>
              <c:numCache>
                <c:formatCode>General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xVal>
          <c:yVal>
            <c:numRef>
              <c:f>SpecData!$D$99:$D$100</c:f>
              <c:numCache>
                <c:formatCode>General</c:formatCode>
                <c:ptCount val="2"/>
                <c:pt idx="0">
                  <c:v>4</c:v>
                </c:pt>
                <c:pt idx="1">
                  <c:v>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D0D-43EC-A716-25450E717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589376"/>
        <c:axId val="85816448"/>
      </c:scatterChart>
      <c:valAx>
        <c:axId val="85589376"/>
        <c:scaling>
          <c:orientation val="minMax"/>
          <c:max val="103"/>
          <c:min val="95"/>
        </c:scaling>
        <c:delete val="0"/>
        <c:axPos val="b"/>
        <c:majorGridlines/>
        <c:numFmt formatCode="0" sourceLinked="0"/>
        <c:majorTickMark val="out"/>
        <c:minorTickMark val="none"/>
        <c:tickLblPos val="low"/>
        <c:crossAx val="85816448"/>
        <c:crossesAt val="0"/>
        <c:crossBetween val="midCat"/>
        <c:majorUnit val="1"/>
      </c:valAx>
      <c:valAx>
        <c:axId val="85816448"/>
        <c:scaling>
          <c:orientation val="minMax"/>
          <c:max val="3"/>
          <c:min val="-3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85589376"/>
        <c:crosses val="autoZero"/>
        <c:crossBetween val="midCat"/>
        <c:majorUnit val="1"/>
      </c:valAx>
      <c:spPr>
        <a:ln w="28575"/>
      </c:spPr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238125</xdr:colOff>
      <xdr:row>8</xdr:row>
      <xdr:rowOff>100364</xdr:rowOff>
    </xdr:from>
    <xdr:to>
      <xdr:col>29</xdr:col>
      <xdr:colOff>723900</xdr:colOff>
      <xdr:row>14</xdr:row>
      <xdr:rowOff>200025</xdr:rowOff>
    </xdr:to>
    <xdr:pic>
      <xdr:nvPicPr>
        <xdr:cNvPr id="5" name="Image 4" descr="Limit MP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449300" y="1614839"/>
          <a:ext cx="3533775" cy="1252186"/>
        </a:xfrm>
        <a:prstGeom prst="rect">
          <a:avLst/>
        </a:prstGeom>
      </xdr:spPr>
    </xdr:pic>
    <xdr:clientData/>
  </xdr:twoCellAnchor>
  <xdr:twoCellAnchor editAs="oneCell">
    <xdr:from>
      <xdr:col>25</xdr:col>
      <xdr:colOff>219074</xdr:colOff>
      <xdr:row>16</xdr:row>
      <xdr:rowOff>40122</xdr:rowOff>
    </xdr:from>
    <xdr:to>
      <xdr:col>29</xdr:col>
      <xdr:colOff>733425</xdr:colOff>
      <xdr:row>22</xdr:row>
      <xdr:rowOff>160744</xdr:rowOff>
    </xdr:to>
    <xdr:pic>
      <xdr:nvPicPr>
        <xdr:cNvPr id="6" name="Image 5" descr="Limit VNE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430249" y="3116697"/>
          <a:ext cx="3562351" cy="1339822"/>
        </a:xfrm>
        <a:prstGeom prst="rect">
          <a:avLst/>
        </a:prstGeom>
      </xdr:spPr>
    </xdr:pic>
    <xdr:clientData/>
  </xdr:twoCellAnchor>
  <xdr:twoCellAnchor>
    <xdr:from>
      <xdr:col>19</xdr:col>
      <xdr:colOff>342900</xdr:colOff>
      <xdr:row>4</xdr:row>
      <xdr:rowOff>14286</xdr:rowOff>
    </xdr:from>
    <xdr:to>
      <xdr:col>25</xdr:col>
      <xdr:colOff>161925</xdr:colOff>
      <xdr:row>29</xdr:row>
      <xdr:rowOff>123825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4BD3834D-9ECE-4C90-8A14-505069E0BAA0}"/>
            </a:ext>
          </a:extLst>
        </xdr:cNvPr>
        <xdr:cNvGrpSpPr/>
      </xdr:nvGrpSpPr>
      <xdr:grpSpPr>
        <a:xfrm>
          <a:off x="9477375" y="795336"/>
          <a:ext cx="4391025" cy="5100639"/>
          <a:chOff x="9477375" y="795336"/>
          <a:chExt cx="4391025" cy="5053014"/>
        </a:xfrm>
      </xdr:grpSpPr>
      <xdr:graphicFrame macro="">
        <xdr:nvGraphicFramePr>
          <xdr:cNvPr id="3" name="Graphiqu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aphicFramePr/>
        </xdr:nvGraphicFramePr>
        <xdr:xfrm>
          <a:off x="9477376" y="795336"/>
          <a:ext cx="4391024" cy="25371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12" name="Graphique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GraphicFramePr>
            <a:graphicFrameLocks/>
          </xdr:cNvGraphicFramePr>
        </xdr:nvGraphicFramePr>
        <xdr:xfrm>
          <a:off x="9477375" y="3311250"/>
          <a:ext cx="4391024" cy="25371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sp macro="" textlink="">
        <xdr:nvSpPr>
          <xdr:cNvPr id="7" name="ZoneTexte 1">
            <a:extLst>
              <a:ext uri="{FF2B5EF4-FFF2-40B4-BE49-F238E27FC236}">
                <a16:creationId xmlns:a16="http://schemas.microsoft.com/office/drawing/2014/main" id="{D7890022-D3B9-43AB-9CBF-47462C895262}"/>
              </a:ext>
            </a:extLst>
          </xdr:cNvPr>
          <xdr:cNvSpPr txBox="1"/>
        </xdr:nvSpPr>
        <xdr:spPr>
          <a:xfrm>
            <a:off x="11649075" y="3190875"/>
            <a:ext cx="532532" cy="323156"/>
          </a:xfrm>
          <a:prstGeom prst="rect">
            <a:avLst/>
          </a:prstGeom>
          <a:solidFill>
            <a:schemeClr val="bg1"/>
          </a:solidFill>
        </xdr:spPr>
        <xdr:txBody>
          <a:bodyPr wrap="square" lIns="36000" tIns="36000" rIns="36000" bIns="36000" rtlCol="0" anchor="ctr"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r-CH" sz="800" b="1" i="1" baseline="30000">
                <a:solidFill>
                  <a:schemeClr val="tx1">
                    <a:lumMod val="65000"/>
                    <a:lumOff val="35000"/>
                  </a:schemeClr>
                </a:solidFill>
              </a:rPr>
              <a:t>C</a:t>
            </a:r>
            <a:r>
              <a:rPr lang="fr-CH" sz="800" b="1" i="1" baseline="-25000">
                <a:solidFill>
                  <a:schemeClr val="tx1">
                    <a:lumMod val="65000"/>
                    <a:lumOff val="35000"/>
                  </a:schemeClr>
                </a:solidFill>
              </a:rPr>
              <a:t>L</a:t>
            </a:r>
          </a:p>
          <a:p>
            <a:pPr algn="ctr"/>
            <a:r>
              <a:rPr lang="fr-CH" sz="800" b="1" i="1">
                <a:solidFill>
                  <a:schemeClr val="tx1">
                    <a:lumMod val="65000"/>
                    <a:lumOff val="35000"/>
                  </a:schemeClr>
                </a:solidFill>
              </a:rPr>
              <a:t>Main rotor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26</xdr:row>
      <xdr:rowOff>165573</xdr:rowOff>
    </xdr:from>
    <xdr:to>
      <xdr:col>7</xdr:col>
      <xdr:colOff>57150</xdr:colOff>
      <xdr:row>48</xdr:row>
      <xdr:rowOff>133350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7525" y="5223348"/>
          <a:ext cx="2333625" cy="4158777"/>
        </a:xfrm>
        <a:prstGeom prst="rect">
          <a:avLst/>
        </a:prstGeom>
      </xdr:spPr>
    </xdr:pic>
    <xdr:clientData/>
  </xdr:twoCellAnchor>
  <xdr:oneCellAnchor>
    <xdr:from>
      <xdr:col>18</xdr:col>
      <xdr:colOff>66675</xdr:colOff>
      <xdr:row>25</xdr:row>
      <xdr:rowOff>190500</xdr:rowOff>
    </xdr:from>
    <xdr:ext cx="1057276" cy="1220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ZoneTexte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13449300" y="5048250"/>
              <a:ext cx="1057276" cy="1220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fr-CH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∆h=</a:t>
              </a:r>
              <a14:m>
                <m:oMath xmlns:m="http://schemas.openxmlformats.org/officeDocument/2006/math">
                  <m:f>
                    <m:fPr>
                      <m:ctrlPr>
                        <a:rPr lang="fr-CH" sz="16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fr-CH" sz="1600" b="0" i="1">
                          <a:latin typeface="Cambria Math"/>
                        </a:rPr>
                        <m:t>96∙</m:t>
                      </m:r>
                      <m:r>
                        <a:rPr lang="fr-CH" sz="1600" b="0" i="1">
                          <a:latin typeface="Cambria Math"/>
                        </a:rPr>
                        <m:t>𝑇</m:t>
                      </m:r>
                    </m:num>
                    <m:den>
                      <m:r>
                        <a:rPr lang="fr-CH" sz="1600" b="0" i="1">
                          <a:latin typeface="Cambria Math"/>
                        </a:rPr>
                        <m:t>𝑝</m:t>
                      </m:r>
                    </m:den>
                  </m:f>
                </m:oMath>
              </a14:m>
              <a:endParaRPr lang="fr-CH" sz="1600" b="0">
                <a:latin typeface="+mn-lt"/>
              </a:endParaRP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fr-CH" sz="1600"/>
                <a:t>T=[°K]</a:t>
              </a:r>
            </a:p>
            <a:p>
              <a:r>
                <a:rPr lang="fr-CH" sz="1600"/>
                <a:t>p=[hPa]</a:t>
              </a:r>
            </a:p>
            <a:p>
              <a:r>
                <a:rPr lang="fr-CH" sz="1600"/>
                <a:t>h=[ft/hPa]</a:t>
              </a:r>
            </a:p>
          </xdr:txBody>
        </xdr:sp>
      </mc:Choice>
      <mc:Fallback xmlns="">
        <xdr:sp macro="" textlink="">
          <xdr:nvSpPr>
            <xdr:cNvPr id="4" name="ZoneTexte 3"/>
            <xdr:cNvSpPr txBox="1"/>
          </xdr:nvSpPr>
          <xdr:spPr>
            <a:xfrm>
              <a:off x="13449300" y="5048250"/>
              <a:ext cx="1057276" cy="1220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fr-CH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∆h=</a:t>
              </a:r>
              <a:r>
                <a:rPr lang="fr-CH" sz="1600" i="0">
                  <a:latin typeface="Cambria Math" panose="02040503050406030204" pitchFamily="18" charset="0"/>
                </a:rPr>
                <a:t>(</a:t>
              </a:r>
              <a:r>
                <a:rPr lang="fr-CH" sz="1600" b="0" i="0">
                  <a:latin typeface="Cambria Math"/>
                </a:rPr>
                <a:t>96∙𝑇</a:t>
              </a:r>
              <a:r>
                <a:rPr lang="fr-CH" sz="1600" b="0" i="0">
                  <a:latin typeface="Cambria Math" panose="02040503050406030204" pitchFamily="18" charset="0"/>
                </a:rPr>
                <a:t>)/</a:t>
              </a:r>
              <a:r>
                <a:rPr lang="fr-CH" sz="1600" b="0" i="0">
                  <a:latin typeface="Cambria Math"/>
                </a:rPr>
                <a:t>𝑝</a:t>
              </a:r>
              <a:endParaRPr lang="fr-CH" sz="1600" b="0">
                <a:latin typeface="+mn-lt"/>
              </a:endParaRP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fr-CH" sz="1600"/>
                <a:t>T=[°K]</a:t>
              </a:r>
            </a:p>
            <a:p>
              <a:r>
                <a:rPr lang="fr-CH" sz="1600"/>
                <a:t>p=[hPa]</a:t>
              </a:r>
            </a:p>
            <a:p>
              <a:r>
                <a:rPr lang="fr-CH" sz="1600"/>
                <a:t>h=[ft/hPa]</a:t>
              </a:r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20</xdr:row>
      <xdr:rowOff>28575</xdr:rowOff>
    </xdr:from>
    <xdr:to>
      <xdr:col>6</xdr:col>
      <xdr:colOff>468897</xdr:colOff>
      <xdr:row>37</xdr:row>
      <xdr:rowOff>180975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3952875"/>
          <a:ext cx="1992897" cy="3390900"/>
        </a:xfrm>
        <a:prstGeom prst="rect">
          <a:avLst/>
        </a:prstGeom>
      </xdr:spPr>
    </xdr:pic>
    <xdr:clientData/>
  </xdr:twoCellAnchor>
  <xdr:oneCellAnchor>
    <xdr:from>
      <xdr:col>15</xdr:col>
      <xdr:colOff>657224</xdr:colOff>
      <xdr:row>18</xdr:row>
      <xdr:rowOff>152400</xdr:rowOff>
    </xdr:from>
    <xdr:ext cx="1057276" cy="1220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ZoneTexte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SpPr txBox="1"/>
          </xdr:nvSpPr>
          <xdr:spPr>
            <a:xfrm>
              <a:off x="12087224" y="3695700"/>
              <a:ext cx="1057276" cy="1220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fr-CH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∆h=</a:t>
              </a:r>
              <a14:m>
                <m:oMath xmlns:m="http://schemas.openxmlformats.org/officeDocument/2006/math">
                  <m:f>
                    <m:fPr>
                      <m:ctrlPr>
                        <a:rPr lang="fr-CH" sz="16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fr-CH" sz="1600" b="0" i="1">
                          <a:latin typeface="Cambria Math"/>
                        </a:rPr>
                        <m:t>96∙</m:t>
                      </m:r>
                      <m:r>
                        <a:rPr lang="fr-CH" sz="1600" b="0" i="1">
                          <a:latin typeface="Cambria Math"/>
                        </a:rPr>
                        <m:t>𝑇</m:t>
                      </m:r>
                    </m:num>
                    <m:den>
                      <m:r>
                        <a:rPr lang="fr-CH" sz="1600" b="0" i="1">
                          <a:latin typeface="Cambria Math"/>
                        </a:rPr>
                        <m:t>𝑝</m:t>
                      </m:r>
                    </m:den>
                  </m:f>
                </m:oMath>
              </a14:m>
              <a:endParaRPr lang="fr-CH" sz="1600" b="0">
                <a:latin typeface="+mn-lt"/>
              </a:endParaRP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fr-CH" sz="1600"/>
                <a:t>T=[°K]</a:t>
              </a:r>
            </a:p>
            <a:p>
              <a:r>
                <a:rPr lang="fr-CH" sz="1600"/>
                <a:t>p=[hPa]</a:t>
              </a:r>
            </a:p>
            <a:p>
              <a:r>
                <a:rPr lang="fr-CH" sz="1600"/>
                <a:t>h=[ft/hPa]</a:t>
              </a:r>
            </a:p>
          </xdr:txBody>
        </xdr:sp>
      </mc:Choice>
      <mc:Fallback xmlns="">
        <xdr:sp macro="" textlink="">
          <xdr:nvSpPr>
            <xdr:cNvPr id="3" name="ZoneTexte 2"/>
            <xdr:cNvSpPr txBox="1"/>
          </xdr:nvSpPr>
          <xdr:spPr>
            <a:xfrm>
              <a:off x="12087224" y="3695700"/>
              <a:ext cx="1057276" cy="1220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fr-CH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∆h=</a:t>
              </a:r>
              <a:r>
                <a:rPr lang="fr-CH" sz="1600" i="0">
                  <a:latin typeface="Cambria Math" panose="02040503050406030204" pitchFamily="18" charset="0"/>
                </a:rPr>
                <a:t>(</a:t>
              </a:r>
              <a:r>
                <a:rPr lang="fr-CH" sz="1600" b="0" i="0">
                  <a:latin typeface="Cambria Math"/>
                </a:rPr>
                <a:t>96∙𝑇</a:t>
              </a:r>
              <a:r>
                <a:rPr lang="fr-CH" sz="1600" b="0" i="0">
                  <a:latin typeface="Cambria Math" panose="02040503050406030204" pitchFamily="18" charset="0"/>
                </a:rPr>
                <a:t>)/</a:t>
              </a:r>
              <a:r>
                <a:rPr lang="fr-CH" sz="1600" b="0" i="0">
                  <a:latin typeface="Cambria Math"/>
                </a:rPr>
                <a:t>𝑝</a:t>
              </a:r>
              <a:endParaRPr lang="fr-CH" sz="1600" b="0">
                <a:latin typeface="+mn-lt"/>
              </a:endParaRP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fr-CH" sz="1600"/>
                <a:t>T=[°K]</a:t>
              </a:r>
            </a:p>
            <a:p>
              <a:r>
                <a:rPr lang="fr-CH" sz="1600"/>
                <a:t>p=[hPa]</a:t>
              </a:r>
            </a:p>
            <a:p>
              <a:r>
                <a:rPr lang="fr-CH" sz="1600"/>
                <a:t>h=[ft/hPa]</a:t>
              </a:r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3</xdr:row>
      <xdr:rowOff>169023</xdr:rowOff>
    </xdr:from>
    <xdr:to>
      <xdr:col>2</xdr:col>
      <xdr:colOff>704851</xdr:colOff>
      <xdr:row>22</xdr:row>
      <xdr:rowOff>133350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45F98D8-F8B3-4847-995E-8361BA46C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740523"/>
          <a:ext cx="2171700" cy="36314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L66"/>
  <sheetViews>
    <sheetView tabSelected="1" zoomScaleNormal="100" workbookViewId="0">
      <selection activeCell="B8" sqref="B8"/>
    </sheetView>
  </sheetViews>
  <sheetFormatPr baseColWidth="10" defaultColWidth="11.42578125" defaultRowHeight="15" x14ac:dyDescent="0.25"/>
  <cols>
    <col min="1" max="1" width="31.28515625" style="136" customWidth="1"/>
    <col min="2" max="2" width="7.7109375" style="136" customWidth="1"/>
    <col min="3" max="3" width="14.7109375" style="136" customWidth="1"/>
    <col min="4" max="4" width="3.42578125" style="136" customWidth="1"/>
    <col min="5" max="5" width="8.85546875" style="136" customWidth="1"/>
    <col min="6" max="6" width="4.85546875" style="136" customWidth="1"/>
    <col min="7" max="7" width="5.85546875" style="136" customWidth="1"/>
    <col min="8" max="9" width="5.140625" style="136" customWidth="1"/>
    <col min="10" max="10" width="1.85546875" style="136" customWidth="1"/>
    <col min="11" max="11" width="17.7109375" style="136" customWidth="1"/>
    <col min="12" max="12" width="4.7109375" style="136" customWidth="1"/>
    <col min="13" max="13" width="3.28515625" style="136" customWidth="1"/>
    <col min="14" max="15" width="3.7109375" style="136" customWidth="1"/>
    <col min="16" max="16" width="3" style="136" customWidth="1"/>
    <col min="17" max="17" width="4.7109375" style="136" customWidth="1"/>
    <col min="18" max="18" width="3.5703125" style="136" customWidth="1"/>
    <col min="19" max="19" width="3.7109375" style="136" customWidth="1"/>
    <col min="20" max="24" width="11.42578125" style="136"/>
    <col min="25" max="25" width="11.42578125" style="136" customWidth="1"/>
    <col min="26" max="16384" width="11.42578125" style="136"/>
  </cols>
  <sheetData>
    <row r="1" spans="1:31" ht="15.75" thickBot="1" x14ac:dyDescent="0.3">
      <c r="A1" s="135" t="s">
        <v>0</v>
      </c>
    </row>
    <row r="2" spans="1:31" ht="15" customHeight="1" x14ac:dyDescent="0.25">
      <c r="A2" s="443" t="s">
        <v>1</v>
      </c>
      <c r="B2" s="444"/>
      <c r="C2" s="444"/>
      <c r="D2" s="444"/>
      <c r="E2" s="444"/>
      <c r="F2" s="444"/>
      <c r="G2" s="444"/>
      <c r="H2" s="421" t="str">
        <f>SpecData!E8</f>
        <v>SN3389</v>
      </c>
      <c r="I2" s="421"/>
      <c r="J2" s="421"/>
      <c r="K2" s="421" t="str">
        <f>SpecData!E9</f>
        <v>HB-ZEM</v>
      </c>
      <c r="L2" s="423" t="s">
        <v>2</v>
      </c>
      <c r="M2" s="423"/>
      <c r="N2" s="423"/>
      <c r="O2" s="423"/>
      <c r="P2" s="423"/>
      <c r="Q2" s="423"/>
      <c r="R2" s="423"/>
      <c r="S2" s="424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</row>
    <row r="3" spans="1:31" ht="15.75" customHeight="1" thickBot="1" x14ac:dyDescent="0.3">
      <c r="A3" s="445"/>
      <c r="B3" s="446"/>
      <c r="C3" s="446"/>
      <c r="D3" s="446"/>
      <c r="E3" s="446"/>
      <c r="F3" s="446"/>
      <c r="G3" s="446"/>
      <c r="H3" s="422"/>
      <c r="I3" s="422"/>
      <c r="J3" s="422"/>
      <c r="K3" s="422"/>
      <c r="L3" s="425"/>
      <c r="M3" s="425"/>
      <c r="N3" s="425"/>
      <c r="O3" s="425"/>
      <c r="P3" s="425"/>
      <c r="Q3" s="425"/>
      <c r="R3" s="425"/>
      <c r="S3" s="426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</row>
    <row r="4" spans="1:31" x14ac:dyDescent="0.25">
      <c r="A4" s="457" t="s">
        <v>3</v>
      </c>
      <c r="B4" s="458"/>
      <c r="C4" s="458"/>
      <c r="D4" s="458"/>
      <c r="E4" s="458"/>
      <c r="F4" s="458"/>
      <c r="G4" s="458"/>
      <c r="H4" s="458"/>
      <c r="I4" s="458"/>
      <c r="J4" s="458"/>
      <c r="K4" s="459"/>
      <c r="L4" s="355" t="s">
        <v>4</v>
      </c>
      <c r="M4" s="441"/>
      <c r="N4" s="441"/>
      <c r="O4" s="441"/>
      <c r="P4" s="441"/>
      <c r="Q4" s="441"/>
      <c r="R4" s="441"/>
      <c r="S4" s="442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</row>
    <row r="5" spans="1:31" ht="15.75" customHeight="1" x14ac:dyDescent="0.25">
      <c r="A5" s="138"/>
      <c r="B5" s="292" t="s">
        <v>5</v>
      </c>
      <c r="C5" s="435" t="s">
        <v>6</v>
      </c>
      <c r="D5" s="437"/>
      <c r="E5" s="435" t="s">
        <v>7</v>
      </c>
      <c r="F5" s="436"/>
      <c r="G5" s="437"/>
      <c r="H5" s="435" t="s">
        <v>8</v>
      </c>
      <c r="I5" s="436"/>
      <c r="J5" s="437"/>
      <c r="K5" s="427" t="s">
        <v>9</v>
      </c>
      <c r="L5" s="429" t="s">
        <v>10</v>
      </c>
      <c r="M5" s="430"/>
      <c r="N5" s="430"/>
      <c r="O5" s="430"/>
      <c r="P5" s="430"/>
      <c r="Q5" s="430"/>
      <c r="R5" s="430"/>
      <c r="S5" s="431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</row>
    <row r="6" spans="1:31" ht="15.75" customHeight="1" thickBot="1" x14ac:dyDescent="0.3">
      <c r="A6" s="139" t="s">
        <v>11</v>
      </c>
      <c r="B6" s="293" t="s">
        <v>12</v>
      </c>
      <c r="C6" s="438"/>
      <c r="D6" s="440"/>
      <c r="E6" s="438"/>
      <c r="F6" s="439"/>
      <c r="G6" s="440"/>
      <c r="H6" s="438"/>
      <c r="I6" s="439"/>
      <c r="J6" s="440"/>
      <c r="K6" s="428"/>
      <c r="L6" s="432"/>
      <c r="M6" s="433"/>
      <c r="N6" s="433"/>
      <c r="O6" s="433"/>
      <c r="P6" s="433"/>
      <c r="Q6" s="433"/>
      <c r="R6" s="433"/>
      <c r="S6" s="434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</row>
    <row r="7" spans="1:31" ht="15.75" thickTop="1" x14ac:dyDescent="0.25">
      <c r="A7" s="294" t="s">
        <v>13</v>
      </c>
      <c r="B7" s="140">
        <f>IF(B6="[lbs]",SpecData!E12,SpecData!E12/SpecData!E23)</f>
        <v>408.44515328467156</v>
      </c>
      <c r="C7" s="380">
        <f>SpecData!E13</f>
        <v>103.16</v>
      </c>
      <c r="D7" s="382"/>
      <c r="E7" s="380">
        <f>SpecData!E12*C7</f>
        <v>92805.830799999996</v>
      </c>
      <c r="F7" s="381"/>
      <c r="G7" s="382"/>
      <c r="H7" s="380">
        <f>SpecData!E14</f>
        <v>0.1300001111568089</v>
      </c>
      <c r="I7" s="381"/>
      <c r="J7" s="382"/>
      <c r="K7" s="141">
        <f>SpecData!E12*H7</f>
        <v>116.95199999999998</v>
      </c>
      <c r="L7" s="453" t="s">
        <v>14</v>
      </c>
      <c r="M7" s="454"/>
      <c r="N7" s="142" t="s">
        <v>15</v>
      </c>
      <c r="O7" s="142"/>
      <c r="P7" s="142"/>
      <c r="Q7" s="142"/>
      <c r="R7" s="143">
        <v>-5</v>
      </c>
      <c r="S7" s="144" t="s">
        <v>16</v>
      </c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</row>
    <row r="8" spans="1:31" x14ac:dyDescent="0.25">
      <c r="A8" s="295" t="str">
        <f>IF(B6="[lbs]",IF(B8&gt;240,"Pilot seat mass exceeded","Pilot+cargo"),IF(B8&gt;109,"Pilot seat mass exceeded","Pilot+cargo"))</f>
        <v>Pilot+cargo</v>
      </c>
      <c r="B8" s="145">
        <v>75</v>
      </c>
      <c r="C8" s="377">
        <v>78</v>
      </c>
      <c r="D8" s="379"/>
      <c r="E8" s="374">
        <f>SpecData!D56*C8</f>
        <v>12885.048231511253</v>
      </c>
      <c r="F8" s="375"/>
      <c r="G8" s="376"/>
      <c r="H8" s="377">
        <v>10.7</v>
      </c>
      <c r="I8" s="378"/>
      <c r="J8" s="379"/>
      <c r="K8" s="141">
        <f>SpecData!D56*H8</f>
        <v>1767.5643086816717</v>
      </c>
      <c r="L8" s="455"/>
      <c r="M8" s="456"/>
      <c r="N8" s="146" t="s">
        <v>17</v>
      </c>
      <c r="O8" s="146"/>
      <c r="P8" s="146"/>
      <c r="Q8" s="254" t="str">
        <f>IF(R8&gt;0,"+"," ")</f>
        <v xml:space="preserve"> </v>
      </c>
      <c r="R8" s="146">
        <f>R7-(15-10000/1000*2)</f>
        <v>0</v>
      </c>
      <c r="S8" s="147" t="s">
        <v>16</v>
      </c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</row>
    <row r="9" spans="1:31" x14ac:dyDescent="0.25">
      <c r="A9" s="295" t="str">
        <f>IF(B6="[lbs]",IF(B9&gt;240,"Copilot seat mass exceeded","Copilot+cargo"),IF(B9&gt;109,"Copilot seat mass exceeded","Copilot+cargo"))</f>
        <v>Copilot+cargo</v>
      </c>
      <c r="B9" s="145">
        <v>73</v>
      </c>
      <c r="C9" s="377">
        <v>78</v>
      </c>
      <c r="D9" s="379"/>
      <c r="E9" s="374">
        <f>SpecData!D57*C9</f>
        <v>12541.44694533762</v>
      </c>
      <c r="F9" s="375"/>
      <c r="G9" s="376"/>
      <c r="H9" s="377">
        <v>-9.3000000000000007</v>
      </c>
      <c r="I9" s="378"/>
      <c r="J9" s="379"/>
      <c r="K9" s="141">
        <f>SpecData!D57*H9</f>
        <v>-1495.3263665594855</v>
      </c>
      <c r="L9" s="447" t="s">
        <v>18</v>
      </c>
      <c r="M9" s="448"/>
      <c r="N9" s="451" t="s">
        <v>15</v>
      </c>
      <c r="O9" s="451"/>
      <c r="P9" s="451"/>
      <c r="Q9" s="452"/>
      <c r="R9" s="148">
        <v>12</v>
      </c>
      <c r="S9" s="149" t="s">
        <v>16</v>
      </c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</row>
    <row r="10" spans="1:31" x14ac:dyDescent="0.25">
      <c r="A10" s="295" t="s">
        <v>19</v>
      </c>
      <c r="B10" s="145">
        <v>0</v>
      </c>
      <c r="C10" s="377">
        <v>77.5</v>
      </c>
      <c r="D10" s="379"/>
      <c r="E10" s="374">
        <f>SpecData!D58*C10</f>
        <v>0</v>
      </c>
      <c r="F10" s="375"/>
      <c r="G10" s="376"/>
      <c r="H10" s="377">
        <v>21</v>
      </c>
      <c r="I10" s="378"/>
      <c r="J10" s="379"/>
      <c r="K10" s="141">
        <f>SpecData!D58*H10</f>
        <v>0</v>
      </c>
      <c r="L10" s="447"/>
      <c r="M10" s="448"/>
      <c r="N10" s="150" t="s">
        <v>17</v>
      </c>
      <c r="O10" s="150"/>
      <c r="P10" s="150"/>
      <c r="Q10" s="255" t="str">
        <f>IF(R10&gt;0,"+"," ")</f>
        <v>+</v>
      </c>
      <c r="R10" s="151">
        <f>'Perfo HOGE'!K8</f>
        <v>0.1639999999999997</v>
      </c>
      <c r="S10" s="149" t="s">
        <v>16</v>
      </c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</row>
    <row r="11" spans="1:31" x14ac:dyDescent="0.25">
      <c r="A11" s="295" t="s">
        <v>20</v>
      </c>
      <c r="B11" s="145">
        <v>0</v>
      </c>
      <c r="C11" s="377">
        <v>77.5</v>
      </c>
      <c r="D11" s="379"/>
      <c r="E11" s="374">
        <f>SpecData!D59*C11</f>
        <v>0</v>
      </c>
      <c r="F11" s="375"/>
      <c r="G11" s="376"/>
      <c r="H11" s="377">
        <v>-21</v>
      </c>
      <c r="I11" s="378"/>
      <c r="J11" s="379"/>
      <c r="K11" s="141">
        <f>SpecData!D59*H11</f>
        <v>0</v>
      </c>
      <c r="L11" s="447"/>
      <c r="M11" s="448"/>
      <c r="N11" s="150" t="s">
        <v>21</v>
      </c>
      <c r="O11" s="150"/>
      <c r="P11" s="150"/>
      <c r="Q11" s="341" t="s">
        <v>22</v>
      </c>
      <c r="R11" s="342"/>
      <c r="S11" s="149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</row>
    <row r="12" spans="1:31" x14ac:dyDescent="0.25">
      <c r="A12" s="295" t="s">
        <v>23</v>
      </c>
      <c r="B12" s="145">
        <v>0</v>
      </c>
      <c r="C12" s="377">
        <v>68</v>
      </c>
      <c r="D12" s="379"/>
      <c r="E12" s="374">
        <f>SpecData!D60*C12</f>
        <v>0</v>
      </c>
      <c r="F12" s="375"/>
      <c r="G12" s="376"/>
      <c r="H12" s="377">
        <v>-8</v>
      </c>
      <c r="I12" s="378"/>
      <c r="J12" s="379"/>
      <c r="K12" s="141">
        <f>SpecData!D60*H12</f>
        <v>0</v>
      </c>
      <c r="L12" s="449"/>
      <c r="M12" s="450"/>
      <c r="N12" s="152" t="s">
        <v>24</v>
      </c>
      <c r="O12" s="152"/>
      <c r="P12" s="152"/>
      <c r="Q12" s="341">
        <v>1582</v>
      </c>
      <c r="R12" s="342"/>
      <c r="S12" s="153" t="s">
        <v>25</v>
      </c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</row>
    <row r="13" spans="1:31" x14ac:dyDescent="0.25">
      <c r="A13" s="295" t="s">
        <v>26</v>
      </c>
      <c r="B13" s="145">
        <v>0</v>
      </c>
      <c r="C13" s="377">
        <v>80.7</v>
      </c>
      <c r="D13" s="379"/>
      <c r="E13" s="374">
        <f>SpecData!D61*C13</f>
        <v>0</v>
      </c>
      <c r="F13" s="375"/>
      <c r="G13" s="376"/>
      <c r="H13" s="377">
        <v>-19.5</v>
      </c>
      <c r="I13" s="378"/>
      <c r="J13" s="379"/>
      <c r="K13" s="141">
        <f>SpecData!D61*H13</f>
        <v>0</v>
      </c>
      <c r="L13" s="154" t="s">
        <v>27</v>
      </c>
      <c r="M13" s="155"/>
      <c r="N13" s="155"/>
      <c r="O13" s="155"/>
      <c r="P13" s="155"/>
      <c r="Q13" s="467">
        <v>1013</v>
      </c>
      <c r="R13" s="468"/>
      <c r="S13" s="156" t="s">
        <v>28</v>
      </c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</row>
    <row r="14" spans="1:31" ht="15.75" thickBot="1" x14ac:dyDescent="0.3">
      <c r="A14" s="296" t="s">
        <v>29</v>
      </c>
      <c r="B14" s="157">
        <v>0</v>
      </c>
      <c r="C14" s="348">
        <v>46.5</v>
      </c>
      <c r="D14" s="349"/>
      <c r="E14" s="350">
        <f>SpecData!D62*C14</f>
        <v>0</v>
      </c>
      <c r="F14" s="351"/>
      <c r="G14" s="352"/>
      <c r="H14" s="348">
        <v>-9.5</v>
      </c>
      <c r="I14" s="353"/>
      <c r="J14" s="349"/>
      <c r="K14" s="141">
        <f>SpecData!D62*H14</f>
        <v>0</v>
      </c>
      <c r="L14" s="158" t="s">
        <v>30</v>
      </c>
      <c r="M14" s="159"/>
      <c r="N14" s="159"/>
      <c r="O14" s="159"/>
      <c r="P14" s="159"/>
      <c r="Q14" s="469">
        <v>0</v>
      </c>
      <c r="R14" s="470"/>
      <c r="S14" s="160" t="s">
        <v>28</v>
      </c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</row>
    <row r="15" spans="1:31" ht="16.5" thickTop="1" thickBot="1" x14ac:dyDescent="0.3">
      <c r="A15" s="161" t="s">
        <v>31</v>
      </c>
      <c r="B15" s="271">
        <f>SUM(B7:B14)</f>
        <v>556.44515328467151</v>
      </c>
      <c r="C15" s="368">
        <f>E15/SpecData!D63</f>
        <v>96.419594257530889</v>
      </c>
      <c r="D15" s="370"/>
      <c r="E15" s="371">
        <f>SUM(E7:G14)</f>
        <v>118232.32597684888</v>
      </c>
      <c r="F15" s="372"/>
      <c r="G15" s="373"/>
      <c r="H15" s="368">
        <f>K15/SpecData!D63</f>
        <v>0.31738812544279149</v>
      </c>
      <c r="I15" s="369"/>
      <c r="J15" s="370"/>
      <c r="K15" s="162">
        <f>SUM(K7:K14)</f>
        <v>389.18994212218627</v>
      </c>
      <c r="L15" s="386" t="s">
        <v>32</v>
      </c>
      <c r="M15" s="387"/>
      <c r="N15" s="388" t="s">
        <v>33</v>
      </c>
      <c r="O15" s="390" t="s">
        <v>34</v>
      </c>
      <c r="P15" s="391"/>
      <c r="Q15" s="392" t="s">
        <v>33</v>
      </c>
      <c r="R15" s="394" t="s">
        <v>35</v>
      </c>
      <c r="S15" s="395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</row>
    <row r="16" spans="1:31" ht="15.75" thickBot="1" x14ac:dyDescent="0.3">
      <c r="A16" s="297"/>
      <c r="B16" s="163"/>
      <c r="C16" s="288"/>
      <c r="D16" s="288"/>
      <c r="E16" s="288"/>
      <c r="F16" s="288"/>
      <c r="G16" s="287"/>
      <c r="H16" s="287"/>
      <c r="I16" s="287"/>
      <c r="J16" s="288"/>
      <c r="K16" s="164"/>
      <c r="L16" s="396">
        <v>14000</v>
      </c>
      <c r="M16" s="397"/>
      <c r="N16" s="389"/>
      <c r="O16" s="343">
        <f>OPCeiling!$F$7</f>
        <v>13891</v>
      </c>
      <c r="P16" s="397"/>
      <c r="Q16" s="393"/>
      <c r="R16" s="343">
        <f>OPCeiling!$G$7</f>
        <v>13891</v>
      </c>
      <c r="S16" s="344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</row>
    <row r="17" spans="1:31" ht="15.75" thickBot="1" x14ac:dyDescent="0.3">
      <c r="A17" s="365"/>
      <c r="B17" s="366"/>
      <c r="C17" s="366"/>
      <c r="D17" s="366"/>
      <c r="E17" s="366"/>
      <c r="F17" s="366"/>
      <c r="G17" s="366"/>
      <c r="H17" s="366"/>
      <c r="I17" s="366"/>
      <c r="J17" s="366"/>
      <c r="K17" s="367"/>
      <c r="L17" s="398" t="s">
        <v>36</v>
      </c>
      <c r="M17" s="399"/>
      <c r="N17" s="399"/>
      <c r="O17" s="399"/>
      <c r="P17" s="399"/>
      <c r="Q17" s="399"/>
      <c r="R17" s="399"/>
      <c r="S17" s="400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</row>
    <row r="18" spans="1:31" ht="15.75" thickTop="1" x14ac:dyDescent="0.25">
      <c r="A18" s="298" t="s">
        <v>37</v>
      </c>
      <c r="B18" s="165">
        <f>IF(B6="[lbs]",SpecData!D66,SpecData!C66)</f>
        <v>0</v>
      </c>
      <c r="C18" s="383">
        <v>108.6</v>
      </c>
      <c r="D18" s="385"/>
      <c r="E18" s="380">
        <f>C18*SpecData!D66</f>
        <v>0</v>
      </c>
      <c r="F18" s="381"/>
      <c r="G18" s="382"/>
      <c r="H18" s="383">
        <v>-11</v>
      </c>
      <c r="I18" s="384"/>
      <c r="J18" s="385"/>
      <c r="K18" s="166">
        <f>H18*SpecData!D66</f>
        <v>0</v>
      </c>
      <c r="L18" s="167" t="s">
        <v>38</v>
      </c>
      <c r="M18" s="168"/>
      <c r="N18" s="168"/>
      <c r="O18" s="168"/>
      <c r="P18" s="168"/>
      <c r="Q18" s="404">
        <f>IFERROR('Perfo HIGE'!I19,"AFM 5-6")</f>
        <v>11828.08</v>
      </c>
      <c r="R18" s="404"/>
      <c r="S18" s="169" t="s">
        <v>25</v>
      </c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</row>
    <row r="19" spans="1:31" ht="15.75" thickBot="1" x14ac:dyDescent="0.3">
      <c r="A19" s="299" t="s">
        <v>39</v>
      </c>
      <c r="B19" s="170">
        <f>IF(B6="[lbs]",SpecData!D67,SpecData!C67)</f>
        <v>0</v>
      </c>
      <c r="C19" s="348">
        <v>103.8</v>
      </c>
      <c r="D19" s="349"/>
      <c r="E19" s="350">
        <f>C19*SpecData!D67</f>
        <v>0</v>
      </c>
      <c r="F19" s="351"/>
      <c r="G19" s="352"/>
      <c r="H19" s="348">
        <v>11.2</v>
      </c>
      <c r="I19" s="353"/>
      <c r="J19" s="349"/>
      <c r="K19" s="171">
        <f>H19*SpecData!D67</f>
        <v>0</v>
      </c>
      <c r="L19" s="167" t="s">
        <v>40</v>
      </c>
      <c r="M19" s="168"/>
      <c r="N19" s="168"/>
      <c r="O19" s="168"/>
      <c r="P19" s="168"/>
      <c r="Q19" s="418">
        <f>IFERROR('Perfo HOGE'!J26,"AFM 5-10")</f>
        <v>8635</v>
      </c>
      <c r="R19" s="418"/>
      <c r="S19" s="169" t="s">
        <v>25</v>
      </c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</row>
    <row r="20" spans="1:31" ht="16.5" thickTop="1" thickBot="1" x14ac:dyDescent="0.3">
      <c r="A20" s="172" t="s">
        <v>41</v>
      </c>
      <c r="B20" s="270">
        <f>IF(B6="[lbs]",SpecData!D69,SpecData!C69)</f>
        <v>556.44515328467151</v>
      </c>
      <c r="C20" s="368">
        <f>E20/SpecData!D69</f>
        <v>96.419594257530889</v>
      </c>
      <c r="D20" s="370"/>
      <c r="E20" s="371">
        <f>E15+E18+E19</f>
        <v>118232.32597684888</v>
      </c>
      <c r="F20" s="372"/>
      <c r="G20" s="373"/>
      <c r="H20" s="368">
        <f>K20/SpecData!D69</f>
        <v>0.31738812544279149</v>
      </c>
      <c r="I20" s="369"/>
      <c r="J20" s="370"/>
      <c r="K20" s="162">
        <f>K15+K18+K19</f>
        <v>389.18994212218627</v>
      </c>
      <c r="L20" s="398" t="s">
        <v>42</v>
      </c>
      <c r="M20" s="399"/>
      <c r="N20" s="399"/>
      <c r="O20" s="399"/>
      <c r="P20" s="399"/>
      <c r="Q20" s="399"/>
      <c r="R20" s="399"/>
      <c r="S20" s="400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</row>
    <row r="21" spans="1:31" ht="16.5" thickTop="1" thickBot="1" x14ac:dyDescent="0.3">
      <c r="A21" s="345" t="str">
        <f>IF(B6="[lbs]",IF(B24&lt;920,"!! ALL UP MASS UNDER MINIMUM GROSS WEIGHT AFM 2-3!!"," "),IF(B24&lt;417,"!! ALL UP MASS UNDER MINIMUM GROSS WEIGHT AFM 2-3!!"," "))</f>
        <v xml:space="preserve"> </v>
      </c>
      <c r="B21" s="346"/>
      <c r="C21" s="346"/>
      <c r="D21" s="346"/>
      <c r="E21" s="346"/>
      <c r="F21" s="346"/>
      <c r="G21" s="346"/>
      <c r="H21" s="346"/>
      <c r="I21" s="346"/>
      <c r="J21" s="346"/>
      <c r="K21" s="347"/>
      <c r="L21" s="416" t="s">
        <v>43</v>
      </c>
      <c r="M21" s="417"/>
      <c r="N21" s="354" t="str">
        <f>Q11</f>
        <v>LSGS</v>
      </c>
      <c r="O21" s="354"/>
      <c r="P21" s="359" t="s">
        <v>44</v>
      </c>
      <c r="Q21" s="359"/>
      <c r="R21" s="406" t="s">
        <v>45</v>
      </c>
      <c r="S21" s="40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</row>
    <row r="22" spans="1:31" ht="15.75" thickTop="1" x14ac:dyDescent="0.25">
      <c r="A22" s="298" t="s">
        <v>46</v>
      </c>
      <c r="B22" s="165">
        <f>IF(B6="[lbs]",SpecData!D64,SpecData!C64)</f>
        <v>0</v>
      </c>
      <c r="C22" s="383">
        <v>108.6</v>
      </c>
      <c r="D22" s="385"/>
      <c r="E22" s="380">
        <f>C22*SpecData!D64</f>
        <v>0</v>
      </c>
      <c r="F22" s="381"/>
      <c r="G22" s="382"/>
      <c r="H22" s="383">
        <v>-11</v>
      </c>
      <c r="I22" s="384"/>
      <c r="J22" s="385"/>
      <c r="K22" s="166">
        <f>H22*SpecData!D64</f>
        <v>0</v>
      </c>
      <c r="L22" s="412" t="s">
        <v>47</v>
      </c>
      <c r="M22" s="413"/>
      <c r="N22" s="360">
        <f>IF(Power!I1&lt;2,"Out of Chart",VLOOKUP(Power!D1,Power!A9:BJ39,Power!I1,))</f>
        <v>22.06</v>
      </c>
      <c r="O22" s="360"/>
      <c r="P22" s="362">
        <f>IFERROR(IF(Power!I2&lt;2,"Out of Chart",VLOOKUP(Power!D2,Power!A9:BJ39,Power!I2,)),"AFM 5-10")</f>
        <v>20.260000000000002</v>
      </c>
      <c r="Q22" s="362"/>
      <c r="R22" s="363">
        <f>IFERROR(IF(Power!I3&lt;2,"Out of Chart",VLOOKUP(Power!D3,Power!A9:BJ39,Power!I3,)),"AFM 5-6")</f>
        <v>19.420000000000002</v>
      </c>
      <c r="S22" s="364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</row>
    <row r="23" spans="1:31" ht="15.75" thickBot="1" x14ac:dyDescent="0.3">
      <c r="A23" s="300" t="s">
        <v>48</v>
      </c>
      <c r="B23" s="170">
        <f>IF(B6="[lbs]",SpecData!D65,SpecData!C65)</f>
        <v>0</v>
      </c>
      <c r="C23" s="348">
        <v>103.8</v>
      </c>
      <c r="D23" s="349"/>
      <c r="E23" s="350">
        <f>C23*SpecData!D65</f>
        <v>0</v>
      </c>
      <c r="F23" s="351"/>
      <c r="G23" s="352"/>
      <c r="H23" s="348">
        <v>11.2</v>
      </c>
      <c r="I23" s="353"/>
      <c r="J23" s="349"/>
      <c r="K23" s="171">
        <f>H23*SpecData!D65</f>
        <v>0</v>
      </c>
      <c r="L23" s="412" t="s">
        <v>49</v>
      </c>
      <c r="M23" s="413"/>
      <c r="N23" s="360">
        <f>IF(Power!I1&lt;2,"Out of Chart",VLOOKUP(Power!D1,Power!A9:BJ39,Power!I1,)+0.9)</f>
        <v>22.959999999999997</v>
      </c>
      <c r="O23" s="360"/>
      <c r="P23" s="362">
        <f>IFERROR(IF(Power!I2&lt;2,"Out of Chart",VLOOKUP(Power!D2,Power!A9:BJ39,Power!I2,)+0.9),"AFM 5-10")</f>
        <v>21.16</v>
      </c>
      <c r="Q23" s="362"/>
      <c r="R23" s="363">
        <f>IFERROR(IF(Power!I3&lt;2,"Out of Chart",VLOOKUP(Power!D3,Power!A9:BJ39,Power!I3,)+0.9),"AFM 5-6")</f>
        <v>20.32</v>
      </c>
      <c r="S23" s="364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</row>
    <row r="24" spans="1:31" ht="19.5" thickTop="1" thickBot="1" x14ac:dyDescent="0.4">
      <c r="A24" s="173" t="s">
        <v>50</v>
      </c>
      <c r="B24" s="301">
        <f>IF(B6="[lbs]",SpecData!D71,SpecData!C71)</f>
        <v>556.44515328467151</v>
      </c>
      <c r="C24" s="368">
        <f>E24/SpecData!D71</f>
        <v>96.419594257530889</v>
      </c>
      <c r="D24" s="370"/>
      <c r="E24" s="371">
        <f>E23+E22+E15</f>
        <v>118232.32597684888</v>
      </c>
      <c r="F24" s="372"/>
      <c r="G24" s="373"/>
      <c r="H24" s="368">
        <f>K24/SpecData!D71</f>
        <v>0.31738812544279149</v>
      </c>
      <c r="I24" s="369"/>
      <c r="J24" s="370"/>
      <c r="K24" s="162">
        <f>K23+K22+K15</f>
        <v>389.18994212218627</v>
      </c>
      <c r="L24" s="414" t="s">
        <v>51</v>
      </c>
      <c r="M24" s="415"/>
      <c r="N24" s="411">
        <f>IF(VNE!I1&lt;2,"Out of Chart",VLOOKUP(VNE!D1,VNE!A9:BJ39,VNE!I1,))</f>
        <v>102</v>
      </c>
      <c r="O24" s="411"/>
      <c r="P24" s="408">
        <f>IFERROR(IF(VNE!I2&lt;2,"Out of Chart",VLOOKUP(VNE!D2,VNE!A9:BJ39,VNE!I2,)),"AFM 5-10")</f>
        <v>83.9</v>
      </c>
      <c r="Q24" s="408"/>
      <c r="R24" s="409">
        <f>IFERROR(IF(VNE!I3&lt;2,"Out of Chart",VLOOKUP(VNE!D3,VNE!A9:BJ39,VNE!I3,)),"AFM 5-6")</f>
        <v>66.400000000000006</v>
      </c>
      <c r="S24" s="410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</row>
    <row r="25" spans="1:31" ht="15.75" thickBot="1" x14ac:dyDescent="0.3">
      <c r="A25" s="361" t="str">
        <f>IF(B6="[lbs]",IF(B24&gt;1370,"!! OVER WEIGHT AFM 2-3 !!"," "),IF(B24&gt;622,"!! OVER WEIGHT AFM 2-3 !!"," "))</f>
        <v xml:space="preserve"> </v>
      </c>
      <c r="B25" s="361"/>
      <c r="C25" s="361"/>
      <c r="D25" s="361"/>
      <c r="E25" s="361"/>
      <c r="F25" s="361"/>
      <c r="G25" s="361"/>
      <c r="H25" s="361"/>
      <c r="I25" s="361"/>
      <c r="J25" s="361"/>
      <c r="K25" s="361"/>
      <c r="L25" s="361"/>
      <c r="M25" s="361"/>
      <c r="N25" s="361"/>
      <c r="O25" s="361"/>
      <c r="P25" s="361"/>
      <c r="Q25" s="361"/>
      <c r="R25" s="361"/>
      <c r="S25" s="361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</row>
    <row r="26" spans="1:31" x14ac:dyDescent="0.25">
      <c r="A26" s="355" t="str">
        <f>IF(B27="[USG]",IF(B31&gt;SpecData!D10,"!! FUEL TANK OVERLOADED AFM 2-7 !!","C"),IF(B31&gt;SpecData!D11,"!! FUEL TANK OVERLOADED AFM 2-7 !!","C"))</f>
        <v>C</v>
      </c>
      <c r="B26" s="356"/>
      <c r="C26" s="356"/>
      <c r="D26" s="356"/>
      <c r="E26" s="356"/>
      <c r="F26" s="356"/>
      <c r="G26" s="356"/>
      <c r="H26" s="356"/>
      <c r="I26" s="356"/>
      <c r="J26" s="356"/>
      <c r="K26" s="355" t="str">
        <f>IF(L32&gt;SpecData!D10,"!! FUEL TANK OVERLOADED AFM 2-7 !!","B")</f>
        <v>B</v>
      </c>
      <c r="L26" s="356"/>
      <c r="M26" s="356"/>
      <c r="N26" s="356"/>
      <c r="O26" s="356"/>
      <c r="P26" s="356"/>
      <c r="Q26" s="356"/>
      <c r="R26" s="356"/>
      <c r="S26" s="35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</row>
    <row r="27" spans="1:31" x14ac:dyDescent="0.25">
      <c r="A27" s="302" t="s">
        <v>52</v>
      </c>
      <c r="B27" s="303" t="s">
        <v>53</v>
      </c>
      <c r="C27" s="174" t="s">
        <v>54</v>
      </c>
      <c r="D27" s="175"/>
      <c r="E27" s="176"/>
      <c r="F27" s="176"/>
      <c r="G27" s="176"/>
      <c r="H27" s="176"/>
      <c r="I27" s="176"/>
      <c r="J27" s="177"/>
      <c r="K27" s="304" t="s">
        <v>55</v>
      </c>
      <c r="L27" s="137"/>
      <c r="M27" s="178">
        <v>0</v>
      </c>
      <c r="N27" s="137" t="s">
        <v>56</v>
      </c>
      <c r="O27" s="178">
        <v>0</v>
      </c>
      <c r="P27" s="137" t="s">
        <v>57</v>
      </c>
      <c r="Q27" s="137"/>
      <c r="R27" s="137"/>
      <c r="S27" s="179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</row>
    <row r="28" spans="1:31" x14ac:dyDescent="0.25">
      <c r="A28" s="305" t="s">
        <v>58</v>
      </c>
      <c r="B28" s="331">
        <v>0</v>
      </c>
      <c r="C28" s="137" t="str">
        <f>IF(B27="[USG]",SpecData!G10,SpecData!H10)</f>
        <v>[USG] max 19,2</v>
      </c>
      <c r="D28" s="306" t="s">
        <v>59</v>
      </c>
      <c r="E28" s="307"/>
      <c r="F28" s="178">
        <v>0</v>
      </c>
      <c r="G28" s="308" t="s">
        <v>60</v>
      </c>
      <c r="H28" s="181">
        <f>F28*SpecData!E20</f>
        <v>0</v>
      </c>
      <c r="I28" s="308" t="s">
        <v>61</v>
      </c>
      <c r="J28" s="309"/>
      <c r="K28" s="304" t="s">
        <v>62</v>
      </c>
      <c r="L28" s="137"/>
      <c r="M28" s="137"/>
      <c r="N28" s="137"/>
      <c r="O28" s="178">
        <v>0</v>
      </c>
      <c r="P28" s="137" t="s">
        <v>57</v>
      </c>
      <c r="Q28" s="137"/>
      <c r="R28" s="137"/>
      <c r="S28" s="179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</row>
    <row r="29" spans="1:31" ht="15.75" x14ac:dyDescent="0.25">
      <c r="A29" s="305" t="s">
        <v>48</v>
      </c>
      <c r="B29" s="180">
        <v>0</v>
      </c>
      <c r="C29" s="137" t="str">
        <f>IF(B27="[USG]",SpecData!G11,SpecData!H11)</f>
        <v>[USG] max 10,5</v>
      </c>
      <c r="D29" s="306" t="s">
        <v>63</v>
      </c>
      <c r="E29" s="307"/>
      <c r="F29" s="182">
        <f>IF(B27="[USG]",SpecData!E25,SpecData!E26)</f>
        <v>10</v>
      </c>
      <c r="G29" s="137" t="str">
        <f>IF(B27="[USG]","[USG/h]","[l/h]")</f>
        <v>[USG/h]</v>
      </c>
      <c r="H29" s="163"/>
      <c r="I29" s="163"/>
      <c r="J29" s="179"/>
      <c r="K29" s="310" t="s">
        <v>64</v>
      </c>
      <c r="L29" s="183"/>
      <c r="M29" s="311">
        <f>INT((M27*60+O27+O28)/60)</f>
        <v>0</v>
      </c>
      <c r="N29" s="184" t="s">
        <v>56</v>
      </c>
      <c r="O29" s="312">
        <f>MOD(M27*60+O27+O28,60)</f>
        <v>0</v>
      </c>
      <c r="P29" s="184" t="s">
        <v>57</v>
      </c>
      <c r="Q29" s="183"/>
      <c r="R29" s="185"/>
      <c r="S29" s="186"/>
      <c r="T29" s="137"/>
      <c r="U29" s="137"/>
      <c r="V29" s="137"/>
      <c r="W29" s="137"/>
      <c r="X29" s="137"/>
      <c r="Y29" s="137"/>
      <c r="Z29" s="137"/>
      <c r="AA29" s="137"/>
      <c r="AB29" s="327" t="s">
        <v>79</v>
      </c>
      <c r="AC29" s="329" t="s">
        <v>80</v>
      </c>
      <c r="AD29" s="330">
        <f ca="1">TODAY()</f>
        <v>43845</v>
      </c>
      <c r="AE29" s="137"/>
    </row>
    <row r="30" spans="1:31" x14ac:dyDescent="0.25">
      <c r="A30" s="305"/>
      <c r="B30" s="137"/>
      <c r="C30" s="137"/>
      <c r="D30" s="306" t="s">
        <v>65</v>
      </c>
      <c r="E30" s="307"/>
      <c r="F30" s="313">
        <f>IF(B27="[USG]",(L30/F29)*60,(Q30/F29)*60)</f>
        <v>0</v>
      </c>
      <c r="G30" s="163" t="s">
        <v>66</v>
      </c>
      <c r="H30" s="314">
        <f>F30*F28/60</f>
        <v>0</v>
      </c>
      <c r="I30" s="163" t="s">
        <v>67</v>
      </c>
      <c r="J30" s="179"/>
      <c r="K30" s="315" t="s">
        <v>68</v>
      </c>
      <c r="L30" s="316">
        <f>(M27+(O27/60))*SpecData!E25</f>
        <v>0</v>
      </c>
      <c r="M30" s="358" t="s">
        <v>53</v>
      </c>
      <c r="N30" s="358"/>
      <c r="O30" s="289"/>
      <c r="P30" s="176"/>
      <c r="Q30" s="316">
        <f>L30*SpecData!E24</f>
        <v>0</v>
      </c>
      <c r="R30" s="187" t="s">
        <v>69</v>
      </c>
      <c r="S30" s="177"/>
      <c r="T30" s="188"/>
      <c r="V30" s="137"/>
      <c r="W30" s="137"/>
      <c r="X30" s="137"/>
      <c r="Y30" s="137"/>
      <c r="Z30" s="137"/>
      <c r="AA30" s="137"/>
      <c r="AB30" s="327" t="s">
        <v>82</v>
      </c>
      <c r="AC30" s="460"/>
      <c r="AD30" s="460"/>
      <c r="AE30" s="137"/>
    </row>
    <row r="31" spans="1:31" ht="15.75" thickBot="1" x14ac:dyDescent="0.3">
      <c r="A31" s="305" t="s">
        <v>70</v>
      </c>
      <c r="B31" s="189">
        <f>B28+B29</f>
        <v>0</v>
      </c>
      <c r="C31" s="137" t="str">
        <f>IF(B27="[USG]",SpecData!G12,SpecData!H12)</f>
        <v>[USG] max 29,7</v>
      </c>
      <c r="D31" s="306" t="s">
        <v>64</v>
      </c>
      <c r="E31" s="307"/>
      <c r="F31" s="313">
        <f>IF(B27="[USG]",((L31+L30)/F29)*60,((Q31+Q30)/F29)*60)</f>
        <v>0</v>
      </c>
      <c r="G31" s="163" t="s">
        <v>66</v>
      </c>
      <c r="H31" s="314">
        <f>F31*F28/60</f>
        <v>0</v>
      </c>
      <c r="I31" s="163" t="s">
        <v>67</v>
      </c>
      <c r="J31" s="179"/>
      <c r="K31" s="317" t="s">
        <v>71</v>
      </c>
      <c r="L31" s="318">
        <f>(O28/60)*SpecData!E25</f>
        <v>0</v>
      </c>
      <c r="M31" s="190" t="s">
        <v>53</v>
      </c>
      <c r="N31" s="190"/>
      <c r="O31" s="190"/>
      <c r="P31" s="191"/>
      <c r="Q31" s="318">
        <f>L31*SpecData!E24</f>
        <v>0</v>
      </c>
      <c r="R31" s="192" t="s">
        <v>69</v>
      </c>
      <c r="S31" s="193"/>
      <c r="T31" s="194" t="s">
        <v>72</v>
      </c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</row>
    <row r="32" spans="1:31" ht="16.5" thickTop="1" thickBot="1" x14ac:dyDescent="0.3">
      <c r="A32" s="319"/>
      <c r="B32" s="320"/>
      <c r="C32" s="195" t="s">
        <v>73</v>
      </c>
      <c r="D32" s="196" t="s">
        <v>74</v>
      </c>
      <c r="E32" s="197"/>
      <c r="F32" s="197"/>
      <c r="G32" s="320"/>
      <c r="H32" s="320"/>
      <c r="I32" s="320"/>
      <c r="J32" s="198"/>
      <c r="K32" s="321" t="s">
        <v>75</v>
      </c>
      <c r="L32" s="199">
        <f>(M27+(O27/60)+(O28/60))*SpecData!E25</f>
        <v>0</v>
      </c>
      <c r="M32" s="200" t="s">
        <v>53</v>
      </c>
      <c r="N32" s="200"/>
      <c r="O32" s="200"/>
      <c r="P32" s="197"/>
      <c r="Q32" s="201">
        <f>L32*SpecData!E24</f>
        <v>0</v>
      </c>
      <c r="R32" s="202" t="s">
        <v>69</v>
      </c>
      <c r="S32" s="198"/>
      <c r="T32" s="194" t="s">
        <v>76</v>
      </c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</row>
    <row r="33" spans="1:38" x14ac:dyDescent="0.25">
      <c r="A33" s="471" t="s">
        <v>77</v>
      </c>
      <c r="B33" s="471"/>
      <c r="C33" s="471"/>
      <c r="D33" s="471"/>
      <c r="E33" s="471"/>
      <c r="F33" s="471"/>
      <c r="G33" s="471"/>
      <c r="H33" s="471"/>
      <c r="I33" s="471"/>
      <c r="J33" s="471"/>
      <c r="K33" s="471"/>
      <c r="L33" s="471"/>
      <c r="M33" s="471"/>
      <c r="N33" s="471"/>
      <c r="O33" s="471"/>
      <c r="P33" s="471"/>
      <c r="Q33" s="471"/>
      <c r="R33" s="471"/>
      <c r="S33" s="471"/>
      <c r="T33" s="194" t="s">
        <v>78</v>
      </c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</row>
    <row r="34" spans="1:38" ht="15.75" x14ac:dyDescent="0.3">
      <c r="A34" s="137"/>
      <c r="B34" s="137"/>
      <c r="C34" s="137"/>
      <c r="D34" s="137"/>
      <c r="E34" s="137"/>
      <c r="F34" s="137"/>
      <c r="G34" s="137"/>
      <c r="H34" s="137"/>
      <c r="I34" s="137"/>
      <c r="J34" s="137"/>
      <c r="K34" s="137" t="s">
        <v>79</v>
      </c>
      <c r="L34" s="203"/>
      <c r="M34" s="232"/>
      <c r="N34" s="232"/>
      <c r="O34" s="233" t="s">
        <v>80</v>
      </c>
      <c r="P34" s="461">
        <f ca="1">TODAY()</f>
        <v>43845</v>
      </c>
      <c r="Q34" s="462"/>
      <c r="R34" s="462"/>
      <c r="S34" s="137"/>
      <c r="T34" s="194" t="s">
        <v>81</v>
      </c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</row>
    <row r="35" spans="1:38" x14ac:dyDescent="0.25">
      <c r="A35" s="137"/>
      <c r="B35" s="137"/>
      <c r="C35" s="137"/>
      <c r="D35" s="137"/>
      <c r="E35" s="137"/>
      <c r="F35" s="137"/>
      <c r="G35" s="137"/>
      <c r="H35" s="137"/>
      <c r="I35" s="137"/>
      <c r="J35" s="137"/>
      <c r="K35" s="137" t="s">
        <v>82</v>
      </c>
      <c r="L35" s="204"/>
      <c r="M35" s="204"/>
      <c r="N35" s="204"/>
      <c r="O35" s="204"/>
      <c r="P35" s="204"/>
      <c r="Q35" s="204"/>
      <c r="R35" s="204"/>
      <c r="S35" s="137"/>
      <c r="T35" s="466" t="s">
        <v>77</v>
      </c>
      <c r="U35" s="466"/>
      <c r="V35" s="466"/>
      <c r="W35" s="466"/>
      <c r="X35" s="466"/>
      <c r="Y35" s="466"/>
      <c r="Z35" s="466"/>
      <c r="AA35" s="466"/>
      <c r="AB35" s="466"/>
      <c r="AC35" s="466"/>
      <c r="AD35" s="466"/>
      <c r="AE35" s="205"/>
      <c r="AF35" s="322"/>
      <c r="AG35" s="322"/>
      <c r="AH35" s="322"/>
      <c r="AI35" s="322"/>
      <c r="AJ35" s="322"/>
      <c r="AK35" s="322"/>
      <c r="AL35" s="322"/>
    </row>
    <row r="36" spans="1:38" ht="15.75" thickBot="1" x14ac:dyDescent="0.3">
      <c r="A36" s="137"/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</row>
    <row r="37" spans="1:38" ht="15.75" thickTop="1" x14ac:dyDescent="0.25">
      <c r="A37" s="206" t="s">
        <v>83</v>
      </c>
      <c r="B37" s="142"/>
      <c r="C37" s="142"/>
      <c r="D37" s="142"/>
      <c r="E37" s="142"/>
      <c r="F37" s="207"/>
      <c r="G37" s="207"/>
      <c r="H37" s="207"/>
      <c r="I37" s="207"/>
      <c r="J37" s="207"/>
      <c r="K37" s="207"/>
      <c r="L37" s="207"/>
      <c r="M37" s="207"/>
      <c r="N37" s="207"/>
      <c r="O37" s="207"/>
      <c r="P37" s="142"/>
      <c r="Q37" s="142"/>
      <c r="R37" s="142"/>
      <c r="S37" s="142"/>
      <c r="T37" s="142"/>
      <c r="U37" s="142"/>
      <c r="V37" s="208"/>
    </row>
    <row r="38" spans="1:38" ht="17.25" x14ac:dyDescent="0.25">
      <c r="A38" s="209" t="s">
        <v>84</v>
      </c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210"/>
    </row>
    <row r="39" spans="1:38" ht="17.25" x14ac:dyDescent="0.25">
      <c r="A39" s="211" t="s">
        <v>85</v>
      </c>
      <c r="B39" s="212"/>
      <c r="C39" s="212"/>
      <c r="D39" s="212"/>
      <c r="E39" s="137"/>
      <c r="F39" s="137"/>
      <c r="G39" s="137"/>
      <c r="H39" s="137"/>
      <c r="I39" s="137"/>
      <c r="J39" s="137"/>
      <c r="K39" s="137"/>
      <c r="L39" s="137"/>
      <c r="M39" s="213"/>
      <c r="N39" s="213"/>
      <c r="O39" s="137"/>
      <c r="P39" s="137"/>
      <c r="Q39" s="137"/>
      <c r="R39" s="137"/>
      <c r="S39" s="214"/>
      <c r="T39" s="137"/>
      <c r="U39" s="215"/>
      <c r="V39" s="216" t="s">
        <v>86</v>
      </c>
    </row>
    <row r="40" spans="1:38" x14ac:dyDescent="0.25">
      <c r="A40" s="211" t="s">
        <v>87</v>
      </c>
      <c r="B40" s="212"/>
      <c r="C40" s="212"/>
      <c r="D40" s="212"/>
      <c r="E40" s="137"/>
      <c r="F40" s="188"/>
      <c r="G40" s="137"/>
      <c r="H40" s="137"/>
      <c r="I40" s="137"/>
      <c r="J40" s="137"/>
      <c r="K40" s="137"/>
      <c r="L40" s="214"/>
      <c r="M40" s="214"/>
      <c r="N40" s="214"/>
      <c r="O40" s="214"/>
      <c r="P40" s="137"/>
      <c r="Q40" s="137"/>
      <c r="R40" s="137"/>
      <c r="S40" s="137"/>
      <c r="T40" s="137"/>
      <c r="U40" s="137"/>
      <c r="V40" s="210"/>
    </row>
    <row r="41" spans="1:38" x14ac:dyDescent="0.25">
      <c r="A41" s="211" t="s">
        <v>88</v>
      </c>
      <c r="B41" s="212"/>
      <c r="C41" s="212"/>
      <c r="D41" s="212"/>
      <c r="E41" s="212"/>
      <c r="F41" s="188"/>
      <c r="G41" s="288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210"/>
    </row>
    <row r="42" spans="1:38" x14ac:dyDescent="0.25">
      <c r="A42" s="463" t="s">
        <v>89</v>
      </c>
      <c r="B42" s="464"/>
      <c r="C42" s="464"/>
      <c r="D42" s="464"/>
      <c r="E42" s="464"/>
      <c r="F42" s="464"/>
      <c r="G42" s="464"/>
      <c r="H42" s="464"/>
      <c r="I42" s="464"/>
      <c r="J42" s="464"/>
      <c r="K42" s="464"/>
      <c r="L42" s="464"/>
      <c r="M42" s="464"/>
      <c r="N42" s="464"/>
      <c r="O42" s="464"/>
      <c r="P42" s="464"/>
      <c r="Q42" s="464"/>
      <c r="R42" s="464"/>
      <c r="S42" s="464"/>
      <c r="T42" s="217"/>
      <c r="U42" s="217"/>
      <c r="V42" s="218"/>
    </row>
    <row r="43" spans="1:38" x14ac:dyDescent="0.25">
      <c r="A43" s="463" t="s">
        <v>90</v>
      </c>
      <c r="B43" s="464"/>
      <c r="C43" s="464"/>
      <c r="D43" s="464"/>
      <c r="E43" s="464"/>
      <c r="F43" s="464"/>
      <c r="G43" s="464"/>
      <c r="H43" s="464"/>
      <c r="I43" s="464"/>
      <c r="J43" s="464"/>
      <c r="K43" s="464"/>
      <c r="L43" s="464"/>
      <c r="M43" s="464"/>
      <c r="N43" s="464"/>
      <c r="O43" s="464"/>
      <c r="P43" s="464"/>
      <c r="Q43" s="464"/>
      <c r="R43" s="464"/>
      <c r="S43" s="464"/>
      <c r="T43" s="464"/>
      <c r="U43" s="464"/>
      <c r="V43" s="465"/>
    </row>
    <row r="44" spans="1:38" ht="18" thickBot="1" x14ac:dyDescent="0.3">
      <c r="A44" s="219" t="s">
        <v>91</v>
      </c>
      <c r="B44" s="191"/>
      <c r="C44" s="191"/>
      <c r="D44" s="191"/>
      <c r="E44" s="191"/>
      <c r="F44" s="191"/>
      <c r="G44" s="191"/>
      <c r="H44" s="191"/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191"/>
      <c r="V44" s="220"/>
    </row>
    <row r="45" spans="1:38" ht="15.75" thickTop="1" x14ac:dyDescent="0.25"/>
    <row r="46" spans="1:38" ht="15.75" thickBot="1" x14ac:dyDescent="0.3"/>
    <row r="47" spans="1:38" x14ac:dyDescent="0.25">
      <c r="A47" s="221"/>
      <c r="B47" s="221"/>
      <c r="L47" s="332" t="s">
        <v>92</v>
      </c>
      <c r="M47" s="333"/>
      <c r="N47" s="333"/>
      <c r="O47" s="333"/>
      <c r="P47" s="333"/>
      <c r="Q47" s="333"/>
      <c r="R47" s="333"/>
      <c r="S47" s="334"/>
    </row>
    <row r="48" spans="1:38" x14ac:dyDescent="0.25">
      <c r="L48" s="222"/>
      <c r="M48" s="176"/>
      <c r="N48" s="176"/>
      <c r="O48" s="176"/>
      <c r="P48" s="176"/>
      <c r="Q48" s="176"/>
      <c r="R48" s="176"/>
      <c r="S48" s="177"/>
    </row>
    <row r="49" spans="12:19" x14ac:dyDescent="0.25">
      <c r="L49" s="223">
        <v>80</v>
      </c>
      <c r="M49" s="224" t="s">
        <v>93</v>
      </c>
      <c r="N49" s="225" t="s">
        <v>33</v>
      </c>
      <c r="O49" s="225"/>
      <c r="P49" s="225"/>
      <c r="Q49" s="323">
        <f>L49*SpecData!E23</f>
        <v>176.20578778135047</v>
      </c>
      <c r="R49" s="224" t="s">
        <v>94</v>
      </c>
      <c r="S49" s="226"/>
    </row>
    <row r="50" spans="12:19" x14ac:dyDescent="0.25">
      <c r="L50" s="223">
        <v>176</v>
      </c>
      <c r="M50" s="224" t="s">
        <v>94</v>
      </c>
      <c r="N50" s="225" t="s">
        <v>33</v>
      </c>
      <c r="O50" s="225"/>
      <c r="P50" s="225"/>
      <c r="Q50" s="323">
        <f>L50/SpecData!E23</f>
        <v>79.906569343065698</v>
      </c>
      <c r="R50" s="224" t="s">
        <v>93</v>
      </c>
      <c r="S50" s="226"/>
    </row>
    <row r="51" spans="12:19" ht="15.75" thickBot="1" x14ac:dyDescent="0.3">
      <c r="L51" s="227"/>
      <c r="M51" s="197"/>
      <c r="N51" s="197"/>
      <c r="O51" s="197"/>
      <c r="P51" s="197"/>
      <c r="Q51" s="197"/>
      <c r="R51" s="197"/>
      <c r="S51" s="198"/>
    </row>
    <row r="52" spans="12:19" ht="15.75" thickBot="1" x14ac:dyDescent="0.3"/>
    <row r="53" spans="12:19" x14ac:dyDescent="0.25">
      <c r="L53" s="332" t="s">
        <v>95</v>
      </c>
      <c r="M53" s="333"/>
      <c r="N53" s="333"/>
      <c r="O53" s="333"/>
      <c r="P53" s="333"/>
      <c r="Q53" s="333"/>
      <c r="R53" s="333"/>
      <c r="S53" s="334"/>
    </row>
    <row r="54" spans="12:19" x14ac:dyDescent="0.25">
      <c r="L54" s="324"/>
      <c r="M54" s="325"/>
      <c r="N54" s="325"/>
      <c r="O54" s="325"/>
      <c r="P54" s="325"/>
      <c r="Q54" s="325"/>
      <c r="R54" s="325"/>
      <c r="S54" s="326"/>
    </row>
    <row r="55" spans="12:19" x14ac:dyDescent="0.25">
      <c r="L55" s="336" t="s">
        <v>96</v>
      </c>
      <c r="M55" s="337"/>
      <c r="N55" s="337"/>
      <c r="O55" s="337"/>
      <c r="P55" s="338"/>
      <c r="Q55" s="339">
        <v>6000</v>
      </c>
      <c r="R55" s="340"/>
      <c r="S55" s="226" t="s">
        <v>25</v>
      </c>
    </row>
    <row r="56" spans="12:19" x14ac:dyDescent="0.25">
      <c r="L56" s="336" t="s">
        <v>97</v>
      </c>
      <c r="M56" s="337"/>
      <c r="N56" s="337"/>
      <c r="O56" s="337"/>
      <c r="P56" s="337"/>
      <c r="Q56" s="338"/>
      <c r="R56" s="228">
        <v>0</v>
      </c>
      <c r="S56" s="226" t="s">
        <v>16</v>
      </c>
    </row>
    <row r="57" spans="12:19" x14ac:dyDescent="0.25">
      <c r="L57" s="229"/>
      <c r="M57" s="137"/>
      <c r="N57" s="137"/>
      <c r="O57" s="137"/>
      <c r="P57" s="137"/>
      <c r="Q57" s="137"/>
      <c r="R57" s="137"/>
      <c r="S57" s="179"/>
    </row>
    <row r="58" spans="12:19" x14ac:dyDescent="0.25">
      <c r="L58" s="419" t="s">
        <v>98</v>
      </c>
      <c r="M58" s="420"/>
      <c r="N58" s="335">
        <f>IF((R56+22)&lt;2,"Out of Chart",VLOOKUP((ROUND(2*(Q55/1000),0)/2)*1000,Power!A9:BJ39,(R56+22),))</f>
        <v>20.8</v>
      </c>
      <c r="O58" s="335"/>
      <c r="P58" s="335"/>
      <c r="Q58" s="335"/>
      <c r="R58" s="224" t="s">
        <v>99</v>
      </c>
      <c r="S58" s="226"/>
    </row>
    <row r="59" spans="12:19" ht="15.75" thickBot="1" x14ac:dyDescent="0.3">
      <c r="L59" s="401" t="s">
        <v>100</v>
      </c>
      <c r="M59" s="402"/>
      <c r="N59" s="405">
        <f>IF((R56+22)&lt;2,"Out of Chart",VLOOKUP((ROUND(2*(Q55/1000),0)/2)*1000,Power!A9:BJ39,R56+22,)+0.9)</f>
        <v>21.7</v>
      </c>
      <c r="O59" s="405"/>
      <c r="P59" s="405"/>
      <c r="Q59" s="405"/>
      <c r="R59" s="230" t="s">
        <v>99</v>
      </c>
      <c r="S59" s="231"/>
    </row>
    <row r="60" spans="12:19" ht="15.75" thickBot="1" x14ac:dyDescent="0.3"/>
    <row r="61" spans="12:19" x14ac:dyDescent="0.25">
      <c r="L61" s="332" t="s">
        <v>101</v>
      </c>
      <c r="M61" s="333"/>
      <c r="N61" s="333"/>
      <c r="O61" s="333"/>
      <c r="P61" s="333"/>
      <c r="Q61" s="333"/>
      <c r="R61" s="333"/>
      <c r="S61" s="334"/>
    </row>
    <row r="62" spans="12:19" x14ac:dyDescent="0.25">
      <c r="L62" s="324"/>
      <c r="M62" s="325"/>
      <c r="N62" s="325"/>
      <c r="O62" s="325"/>
      <c r="P62" s="325"/>
      <c r="Q62" s="325"/>
      <c r="R62" s="325"/>
      <c r="S62" s="326"/>
    </row>
    <row r="63" spans="12:19" x14ac:dyDescent="0.25">
      <c r="L63" s="336" t="s">
        <v>96</v>
      </c>
      <c r="M63" s="337"/>
      <c r="N63" s="337"/>
      <c r="O63" s="337"/>
      <c r="P63" s="338"/>
      <c r="Q63" s="339">
        <v>11000</v>
      </c>
      <c r="R63" s="340"/>
      <c r="S63" s="226" t="s">
        <v>25</v>
      </c>
    </row>
    <row r="64" spans="12:19" x14ac:dyDescent="0.25">
      <c r="L64" s="336" t="s">
        <v>97</v>
      </c>
      <c r="M64" s="337"/>
      <c r="N64" s="337"/>
      <c r="O64" s="337"/>
      <c r="P64" s="337"/>
      <c r="Q64" s="338"/>
      <c r="R64" s="228">
        <v>-1</v>
      </c>
      <c r="S64" s="226" t="s">
        <v>16</v>
      </c>
    </row>
    <row r="65" spans="12:19" x14ac:dyDescent="0.25">
      <c r="L65" s="229"/>
      <c r="M65" s="137"/>
      <c r="N65" s="137"/>
      <c r="O65" s="137"/>
      <c r="P65" s="137"/>
      <c r="Q65" s="137"/>
      <c r="R65" s="137"/>
      <c r="S65" s="179"/>
    </row>
    <row r="66" spans="12:19" ht="15.75" thickBot="1" x14ac:dyDescent="0.3">
      <c r="L66" s="401" t="s">
        <v>102</v>
      </c>
      <c r="M66" s="402"/>
      <c r="N66" s="403">
        <f>IF((R64+22)&lt;2,"Out of Chart",VLOOKUP((ROUND(2*(Q63/1000),0)/2)*1000,VNE!A9:BJ39,R64+22,))</f>
        <v>68.100000000000094</v>
      </c>
      <c r="O66" s="403"/>
      <c r="P66" s="403"/>
      <c r="Q66" s="403"/>
      <c r="R66" s="230" t="s">
        <v>103</v>
      </c>
      <c r="S66" s="231"/>
    </row>
  </sheetData>
  <sheetProtection algorithmName="SHA-512" hashValue="K/9hGkez49a64cWjLnhk1Z/ctcflI/Jm5YWywpa+Hs2crCNnRfl26S5R1RSBqjJd8Cwx3cBmxPaHvylYose5PQ==" saltValue="Ad7vqXiBHYkvft68W2TPiA==" spinCount="100000" sheet="1" objects="1" scenarios="1" selectLockedCells="1"/>
  <mergeCells count="118">
    <mergeCell ref="AC30:AD30"/>
    <mergeCell ref="P34:R34"/>
    <mergeCell ref="A42:S42"/>
    <mergeCell ref="A43:V43"/>
    <mergeCell ref="T35:AD35"/>
    <mergeCell ref="Q13:R13"/>
    <mergeCell ref="Q14:R14"/>
    <mergeCell ref="E7:G7"/>
    <mergeCell ref="E8:G8"/>
    <mergeCell ref="E9:G9"/>
    <mergeCell ref="E10:G10"/>
    <mergeCell ref="A33:S33"/>
    <mergeCell ref="C24:D24"/>
    <mergeCell ref="H20:J20"/>
    <mergeCell ref="H22:J22"/>
    <mergeCell ref="H23:J23"/>
    <mergeCell ref="H24:J24"/>
    <mergeCell ref="C7:D7"/>
    <mergeCell ref="C8:D8"/>
    <mergeCell ref="C9:D9"/>
    <mergeCell ref="C10:D10"/>
    <mergeCell ref="C11:D11"/>
    <mergeCell ref="C12:D12"/>
    <mergeCell ref="C13:D13"/>
    <mergeCell ref="K2:K3"/>
    <mergeCell ref="L2:S3"/>
    <mergeCell ref="K5:K6"/>
    <mergeCell ref="L5:S6"/>
    <mergeCell ref="E5:G6"/>
    <mergeCell ref="H5:J6"/>
    <mergeCell ref="L4:S4"/>
    <mergeCell ref="A2:G3"/>
    <mergeCell ref="H9:J9"/>
    <mergeCell ref="L9:M12"/>
    <mergeCell ref="N9:Q9"/>
    <mergeCell ref="L7:M8"/>
    <mergeCell ref="A4:K4"/>
    <mergeCell ref="Q12:R12"/>
    <mergeCell ref="H2:J3"/>
    <mergeCell ref="C5:D6"/>
    <mergeCell ref="E12:G12"/>
    <mergeCell ref="H7:J7"/>
    <mergeCell ref="H8:J8"/>
    <mergeCell ref="H10:J10"/>
    <mergeCell ref="L66:M66"/>
    <mergeCell ref="N66:Q66"/>
    <mergeCell ref="Q18:R18"/>
    <mergeCell ref="L61:S61"/>
    <mergeCell ref="L63:P63"/>
    <mergeCell ref="Q63:R63"/>
    <mergeCell ref="L64:Q64"/>
    <mergeCell ref="P22:Q22"/>
    <mergeCell ref="L59:M59"/>
    <mergeCell ref="N59:Q59"/>
    <mergeCell ref="R22:S22"/>
    <mergeCell ref="R21:S21"/>
    <mergeCell ref="P24:Q24"/>
    <mergeCell ref="R24:S24"/>
    <mergeCell ref="N24:O24"/>
    <mergeCell ref="L20:S20"/>
    <mergeCell ref="L22:M22"/>
    <mergeCell ref="L23:M23"/>
    <mergeCell ref="L24:M24"/>
    <mergeCell ref="L21:M21"/>
    <mergeCell ref="Q19:R19"/>
    <mergeCell ref="L47:S47"/>
    <mergeCell ref="L58:M58"/>
    <mergeCell ref="L55:P55"/>
    <mergeCell ref="C18:D18"/>
    <mergeCell ref="C20:D20"/>
    <mergeCell ref="C22:D22"/>
    <mergeCell ref="C23:D23"/>
    <mergeCell ref="L15:M15"/>
    <mergeCell ref="N15:N16"/>
    <mergeCell ref="O15:P15"/>
    <mergeCell ref="Q15:Q16"/>
    <mergeCell ref="R15:S15"/>
    <mergeCell ref="L16:M16"/>
    <mergeCell ref="O16:P16"/>
    <mergeCell ref="E15:G15"/>
    <mergeCell ref="E20:G20"/>
    <mergeCell ref="E22:G22"/>
    <mergeCell ref="E23:G23"/>
    <mergeCell ref="L17:S17"/>
    <mergeCell ref="C15:D15"/>
    <mergeCell ref="E24:G24"/>
    <mergeCell ref="E11:G11"/>
    <mergeCell ref="H11:J11"/>
    <mergeCell ref="E18:G18"/>
    <mergeCell ref="H18:J18"/>
    <mergeCell ref="E13:G13"/>
    <mergeCell ref="H12:J12"/>
    <mergeCell ref="H13:J13"/>
    <mergeCell ref="E14:G14"/>
    <mergeCell ref="L53:S53"/>
    <mergeCell ref="N58:Q58"/>
    <mergeCell ref="L56:Q56"/>
    <mergeCell ref="Q55:R55"/>
    <mergeCell ref="Q11:R11"/>
    <mergeCell ref="R16:S16"/>
    <mergeCell ref="A21:K21"/>
    <mergeCell ref="C19:D19"/>
    <mergeCell ref="E19:G19"/>
    <mergeCell ref="H19:J19"/>
    <mergeCell ref="N21:O21"/>
    <mergeCell ref="A26:J26"/>
    <mergeCell ref="K26:S26"/>
    <mergeCell ref="M30:N30"/>
    <mergeCell ref="P21:Q21"/>
    <mergeCell ref="N22:O22"/>
    <mergeCell ref="A25:S25"/>
    <mergeCell ref="N23:O23"/>
    <mergeCell ref="P23:Q23"/>
    <mergeCell ref="R23:S23"/>
    <mergeCell ref="A17:K17"/>
    <mergeCell ref="H15:J15"/>
    <mergeCell ref="H14:J14"/>
    <mergeCell ref="C14:D14"/>
  </mergeCells>
  <conditionalFormatting sqref="A25:F25">
    <cfRule type="containsText" dxfId="50" priority="18" operator="containsText" text="!! OVER WEIGHT !!">
      <formula>NOT(ISERROR(SEARCH("!! OVER WEIGHT !!",A25)))</formula>
    </cfRule>
  </conditionalFormatting>
  <conditionalFormatting sqref="A25:S25">
    <cfRule type="cellIs" dxfId="49" priority="9" operator="equal">
      <formula>"!! OVER WEIGHT AFM 2-3 !!"</formula>
    </cfRule>
    <cfRule type="containsText" dxfId="48" priority="17" operator="containsText" text="!! OVER WEIGHT !!">
      <formula>NOT(ISERROR(SEARCH("!! OVER WEIGHT !!",A25)))</formula>
    </cfRule>
  </conditionalFormatting>
  <conditionalFormatting sqref="L32">
    <cfRule type="expression" dxfId="47" priority="2">
      <formula>$K$26="!! FUEL TANK OVERLOADED AFM 2-7 !!"</formula>
    </cfRule>
    <cfRule type="cellIs" dxfId="46" priority="15" operator="greaterThan">
      <formula>73.6</formula>
    </cfRule>
  </conditionalFormatting>
  <conditionalFormatting sqref="Q32">
    <cfRule type="expression" dxfId="45" priority="1">
      <formula>$K$26="!! FUEL TANK OVERLOADED AFM 2-7 !!"</formula>
    </cfRule>
    <cfRule type="cellIs" dxfId="44" priority="14" operator="greaterThan">
      <formula>279</formula>
    </cfRule>
  </conditionalFormatting>
  <conditionalFormatting sqref="K26:S26">
    <cfRule type="cellIs" dxfId="43" priority="13" operator="equal">
      <formula>"!! FUEL TANK OVERLOADED AFM 2-7 !!"</formula>
    </cfRule>
  </conditionalFormatting>
  <conditionalFormatting sqref="A8">
    <cfRule type="cellIs" dxfId="42" priority="12" operator="equal">
      <formula>"Pilot seat mass exceeded"</formula>
    </cfRule>
  </conditionalFormatting>
  <conditionalFormatting sqref="A9">
    <cfRule type="cellIs" dxfId="41" priority="11" operator="equal">
      <formula>"Copilot seat mass exceeded"</formula>
    </cfRule>
  </conditionalFormatting>
  <conditionalFormatting sqref="B24">
    <cfRule type="expression" dxfId="40" priority="10">
      <formula>IF(B6="[lbs]",OR(B24&gt;1370,B24&lt;920),OR(B24&gt;622,B24&lt;417))</formula>
    </cfRule>
  </conditionalFormatting>
  <conditionalFormatting sqref="A17:K17">
    <cfRule type="cellIs" dxfId="39" priority="8" operator="equal">
      <formula>"!! LANDING MASS UNDER MINIMUM GROSS WEIGHT AFM 2-3!!"</formula>
    </cfRule>
  </conditionalFormatting>
  <conditionalFormatting sqref="A21:K21">
    <cfRule type="cellIs" dxfId="38" priority="6" operator="equal">
      <formula>"!! ALL UP MASS UNDER MINIMUM GROSS WEIGHT AFM 2-3!!"</formula>
    </cfRule>
  </conditionalFormatting>
  <conditionalFormatting sqref="A26:J26">
    <cfRule type="cellIs" dxfId="37" priority="5" operator="equal">
      <formula>"!! FUEL TANK OVERLOADED AFM 2-7 !!"</formula>
    </cfRule>
  </conditionalFormatting>
  <conditionalFormatting sqref="B31">
    <cfRule type="expression" dxfId="36" priority="4">
      <formula>$A$26="!! FUEL TANK OVERLOADED AFM 2-7 !!"</formula>
    </cfRule>
  </conditionalFormatting>
  <conditionalFormatting sqref="C31">
    <cfRule type="expression" dxfId="35" priority="3">
      <formula>OR($A$26="!! FUEL TANK OVERLOADED AFM 2-7 !!",$K$26="!! FUEL TANK OVERLOADED AFM 2-7 !!")</formula>
    </cfRule>
  </conditionalFormatting>
  <dataValidations count="2">
    <dataValidation type="list" allowBlank="1" showInputMessage="1" showErrorMessage="1" sqref="B6" xr:uid="{00000000-0002-0000-0000-000000000000}">
      <formula1>"[lbs],[kg]"</formula1>
    </dataValidation>
    <dataValidation type="list" allowBlank="1" showInputMessage="1" showErrorMessage="1" sqref="B27" xr:uid="{00000000-0002-0000-0000-000001000000}">
      <formula1>"[USG],[l]"</formula1>
    </dataValidation>
  </dataValidations>
  <pageMargins left="0.31496062992125984" right="0.31496062992125984" top="0.39370078740157483" bottom="0.39370078740157483" header="0.31496062992125984" footer="0.31496062992125984"/>
  <pageSetup paperSize="9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10826-E7D0-4157-9CB8-B6B9CA681365}">
  <sheetPr codeName="Feuil8"/>
  <dimension ref="A1:V30"/>
  <sheetViews>
    <sheetView workbookViewId="0">
      <selection activeCell="G29" sqref="G29:N29"/>
    </sheetView>
  </sheetViews>
  <sheetFormatPr baseColWidth="10" defaultColWidth="10.7109375" defaultRowHeight="15" x14ac:dyDescent="0.25"/>
  <cols>
    <col min="1" max="2" width="3.7109375" customWidth="1"/>
    <col min="3" max="3" width="14.85546875" customWidth="1"/>
    <col min="4" max="20" width="3.7109375" customWidth="1"/>
  </cols>
  <sheetData>
    <row r="1" spans="1:22" ht="15.75" thickBot="1" x14ac:dyDescent="0.3"/>
    <row r="2" spans="1:22" ht="15" customHeight="1" x14ac:dyDescent="0.25">
      <c r="A2" s="603" t="s">
        <v>104</v>
      </c>
      <c r="B2" s="604"/>
      <c r="C2" s="604"/>
      <c r="D2" s="604"/>
      <c r="E2" s="604"/>
      <c r="F2" s="604"/>
      <c r="G2" s="604"/>
      <c r="H2" s="604"/>
      <c r="I2" s="604"/>
      <c r="J2" s="601" t="str">
        <f>SpecData!E8</f>
        <v>SN3389</v>
      </c>
      <c r="K2" s="601"/>
      <c r="L2" s="601"/>
      <c r="M2" s="601" t="str">
        <f>SpecData!E9</f>
        <v>HB-ZEM</v>
      </c>
      <c r="N2" s="601"/>
      <c r="O2" s="601"/>
      <c r="P2" s="234"/>
      <c r="Q2" s="234"/>
      <c r="R2" s="234"/>
      <c r="S2" s="234"/>
      <c r="T2" s="235"/>
    </row>
    <row r="3" spans="1:22" ht="15.75" customHeight="1" thickBot="1" x14ac:dyDescent="0.3">
      <c r="A3" s="605"/>
      <c r="B3" s="606"/>
      <c r="C3" s="606"/>
      <c r="D3" s="606"/>
      <c r="E3" s="606"/>
      <c r="F3" s="606"/>
      <c r="G3" s="606"/>
      <c r="H3" s="606"/>
      <c r="I3" s="606"/>
      <c r="J3" s="602"/>
      <c r="K3" s="602"/>
      <c r="L3" s="602"/>
      <c r="M3" s="602"/>
      <c r="N3" s="602"/>
      <c r="O3" s="602"/>
      <c r="P3" s="236"/>
      <c r="Q3" s="236"/>
      <c r="R3" s="581" t="s">
        <v>105</v>
      </c>
      <c r="S3" s="581"/>
      <c r="T3" s="582"/>
    </row>
    <row r="4" spans="1:22" ht="30" customHeight="1" thickBot="1" x14ac:dyDescent="0.3">
      <c r="A4" s="237"/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9"/>
    </row>
    <row r="5" spans="1:22" ht="30" customHeight="1" thickBot="1" x14ac:dyDescent="0.3">
      <c r="A5" s="237"/>
      <c r="B5" s="238"/>
      <c r="C5" s="240"/>
      <c r="D5" s="583" t="s">
        <v>10</v>
      </c>
      <c r="E5" s="584"/>
      <c r="F5" s="584"/>
      <c r="G5" s="584"/>
      <c r="H5" s="584"/>
      <c r="I5" s="584"/>
      <c r="J5" s="585"/>
      <c r="K5" s="586" t="s">
        <v>106</v>
      </c>
      <c r="L5" s="587"/>
      <c r="M5" s="587"/>
      <c r="N5" s="587"/>
      <c r="O5" s="587"/>
      <c r="P5" s="587"/>
      <c r="Q5" s="587"/>
      <c r="R5" s="588"/>
      <c r="S5" s="238"/>
      <c r="T5" s="239"/>
    </row>
    <row r="6" spans="1:22" ht="30" customHeight="1" thickTop="1" x14ac:dyDescent="0.25">
      <c r="A6" s="237"/>
      <c r="B6" s="238"/>
      <c r="C6" s="607" t="s">
        <v>107</v>
      </c>
      <c r="D6" s="589" t="s">
        <v>108</v>
      </c>
      <c r="E6" s="590"/>
      <c r="F6" s="590"/>
      <c r="G6" s="590"/>
      <c r="H6" s="591" t="s">
        <v>109</v>
      </c>
      <c r="I6" s="590"/>
      <c r="J6" s="592"/>
      <c r="K6" s="593" t="str">
        <f>'R22 beta II'!L21</f>
        <v>PA:</v>
      </c>
      <c r="L6" s="594"/>
      <c r="M6" s="595" t="str">
        <f>'R22 beta II'!N21</f>
        <v>LSGS</v>
      </c>
      <c r="N6" s="596"/>
      <c r="O6" s="597">
        <v>5000</v>
      </c>
      <c r="P6" s="598"/>
      <c r="Q6" s="599">
        <v>10000</v>
      </c>
      <c r="R6" s="600"/>
      <c r="S6" s="241"/>
      <c r="T6" s="242"/>
    </row>
    <row r="7" spans="1:22" ht="30" customHeight="1" x14ac:dyDescent="0.25">
      <c r="A7" s="237"/>
      <c r="B7" s="238"/>
      <c r="C7" s="608"/>
      <c r="D7" s="523" t="str">
        <f>'R22 beta II'!Q8</f>
        <v xml:space="preserve"> </v>
      </c>
      <c r="E7" s="560">
        <f>'R22 beta II'!R8</f>
        <v>0</v>
      </c>
      <c r="F7" s="568" t="s">
        <v>110</v>
      </c>
      <c r="G7" s="568"/>
      <c r="H7" s="517">
        <f>'R22 beta II'!Q13</f>
        <v>1013</v>
      </c>
      <c r="I7" s="518"/>
      <c r="J7" s="519"/>
      <c r="K7" s="525" t="str">
        <f>'R22 beta II'!L22</f>
        <v>MCP [in]:</v>
      </c>
      <c r="L7" s="526"/>
      <c r="M7" s="527">
        <f>'R22 beta II'!N22</f>
        <v>22.06</v>
      </c>
      <c r="N7" s="528"/>
      <c r="O7" s="529">
        <f>IFERROR(IF(Power!I4&lt;2,"Out of Chart",VLOOKUP(Power!D4,Power!A9:BJ39,Power!I4,)),"AFM 5-10")</f>
        <v>21.15</v>
      </c>
      <c r="P7" s="530"/>
      <c r="Q7" s="577">
        <f>IFERROR(IF(Power!I5&lt;2,"Out of Chart",VLOOKUP(Power!D5,Power!A9:BJ39,Power!I5,)),"AFM 5-6")</f>
        <v>19.899999999999999</v>
      </c>
      <c r="R7" s="578"/>
      <c r="S7" s="238"/>
      <c r="T7" s="239"/>
    </row>
    <row r="8" spans="1:22" ht="30" customHeight="1" x14ac:dyDescent="0.25">
      <c r="A8" s="237"/>
      <c r="B8" s="238"/>
      <c r="C8" s="608"/>
      <c r="D8" s="523"/>
      <c r="E8" s="560"/>
      <c r="F8" s="568"/>
      <c r="G8" s="568"/>
      <c r="H8" s="517"/>
      <c r="I8" s="518"/>
      <c r="J8" s="519"/>
      <c r="K8" s="562" t="str">
        <f>'R22 beta II'!L23</f>
        <v>MTP [in]:</v>
      </c>
      <c r="L8" s="563"/>
      <c r="M8" s="564">
        <f>'R22 beta II'!N23</f>
        <v>22.959999999999997</v>
      </c>
      <c r="N8" s="565"/>
      <c r="O8" s="566">
        <f>IFERROR(IF(Power!I4&lt;2,"Out of Chart",VLOOKUP(Power!D4,Power!A9:BJ39,Power!I4,)+0.9),"AFM 5-10")</f>
        <v>22.049999999999997</v>
      </c>
      <c r="P8" s="567"/>
      <c r="Q8" s="579">
        <f>IFERROR(IF(Power!I5&lt;2,"Out of Chart",VLOOKUP(Power!D5,Power!A9:BJ39,Power!I5,)+0.9),"AFM 5-6")</f>
        <v>20.799999999999997</v>
      </c>
      <c r="R8" s="580"/>
      <c r="S8" s="238"/>
      <c r="T8" s="239"/>
    </row>
    <row r="9" spans="1:22" ht="30" customHeight="1" thickBot="1" x14ac:dyDescent="0.3">
      <c r="A9" s="237"/>
      <c r="B9" s="238"/>
      <c r="C9" s="609"/>
      <c r="D9" s="524"/>
      <c r="E9" s="561"/>
      <c r="F9" s="569"/>
      <c r="G9" s="569"/>
      <c r="H9" s="520"/>
      <c r="I9" s="521"/>
      <c r="J9" s="522"/>
      <c r="K9" s="513" t="str">
        <f>'R22 beta II'!L24</f>
        <v>VNE [ktIAS]:</v>
      </c>
      <c r="L9" s="514"/>
      <c r="M9" s="515">
        <f>'R22 beta II'!N24</f>
        <v>102</v>
      </c>
      <c r="N9" s="515"/>
      <c r="O9" s="516">
        <f>IFERROR(IF(VNE!I4&lt;2,"Out of Chart",VLOOKUP(VNE!D4,VNE!A9:BJ39,VNE!I4,)),"AFM 5-10")</f>
        <v>96</v>
      </c>
      <c r="P9" s="516"/>
      <c r="Q9" s="558">
        <f>IFERROR(IF(VNE!I5&lt;2,"Out of Chart",VLOOKUP(VNE!D5,VNE!A9:BJ39,VNE!I5,)),"AFM 5-6")</f>
        <v>77</v>
      </c>
      <c r="R9" s="559"/>
      <c r="S9" s="238"/>
      <c r="T9" s="239"/>
    </row>
    <row r="10" spans="1:22" ht="30" customHeight="1" thickBot="1" x14ac:dyDescent="0.3">
      <c r="A10" s="237"/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40"/>
      <c r="T10" s="243"/>
    </row>
    <row r="11" spans="1:22" ht="20.100000000000001" customHeight="1" x14ac:dyDescent="0.25">
      <c r="A11" s="237"/>
      <c r="B11" s="238"/>
      <c r="C11" s="238"/>
      <c r="D11" s="238"/>
      <c r="E11" s="238"/>
      <c r="F11" s="472" t="s">
        <v>32</v>
      </c>
      <c r="G11" s="473"/>
      <c r="H11" s="474" t="s">
        <v>33</v>
      </c>
      <c r="I11" s="475" t="s">
        <v>34</v>
      </c>
      <c r="J11" s="476"/>
      <c r="K11" s="477" t="s">
        <v>33</v>
      </c>
      <c r="L11" s="478" t="s">
        <v>35</v>
      </c>
      <c r="M11" s="479"/>
      <c r="N11" s="238"/>
      <c r="O11" s="238"/>
      <c r="P11" s="238"/>
      <c r="Q11" s="238"/>
      <c r="R11" s="238"/>
      <c r="S11" s="240"/>
      <c r="T11" s="243"/>
    </row>
    <row r="12" spans="1:22" ht="20.100000000000001" customHeight="1" thickBot="1" x14ac:dyDescent="0.3">
      <c r="A12" s="237"/>
      <c r="B12" s="238"/>
      <c r="C12" s="238"/>
      <c r="D12" s="238"/>
      <c r="E12" s="238"/>
      <c r="F12" s="396">
        <v>14000</v>
      </c>
      <c r="G12" s="397"/>
      <c r="H12" s="389"/>
      <c r="I12" s="343">
        <f>OPCeiling!$F$7</f>
        <v>13891</v>
      </c>
      <c r="J12" s="397"/>
      <c r="K12" s="393"/>
      <c r="L12" s="343">
        <f>OPCeiling!$G$7</f>
        <v>13891</v>
      </c>
      <c r="M12" s="344"/>
      <c r="N12" s="238"/>
      <c r="O12" s="238"/>
      <c r="P12" s="238"/>
      <c r="Q12" s="238"/>
      <c r="R12" s="238"/>
      <c r="S12" s="240"/>
      <c r="T12" s="243"/>
    </row>
    <row r="13" spans="1:22" ht="30" customHeight="1" thickBot="1" x14ac:dyDescent="0.3">
      <c r="A13" s="237"/>
      <c r="B13" s="238"/>
      <c r="C13" s="491" t="str">
        <f>IF(E19&gt;622,"↓   !! OVER WEIGHT AFM 2-3 !!"," ")</f>
        <v xml:space="preserve"> </v>
      </c>
      <c r="D13" s="491"/>
      <c r="E13" s="491"/>
      <c r="F13" s="491"/>
      <c r="G13" s="491"/>
      <c r="H13" s="491"/>
      <c r="I13" s="491"/>
      <c r="J13" s="491"/>
      <c r="K13" s="491"/>
      <c r="L13" s="491"/>
      <c r="M13" s="491"/>
      <c r="N13" s="491"/>
      <c r="O13" s="491"/>
      <c r="P13" s="491"/>
      <c r="Q13" s="491"/>
      <c r="R13" s="491"/>
      <c r="S13" s="240"/>
      <c r="T13" s="243"/>
      <c r="V13" s="269"/>
    </row>
    <row r="14" spans="1:22" ht="30" customHeight="1" thickBot="1" x14ac:dyDescent="0.3">
      <c r="A14" s="237"/>
      <c r="B14" s="238"/>
      <c r="C14" s="240"/>
      <c r="D14" s="238"/>
      <c r="E14" s="570" t="s">
        <v>111</v>
      </c>
      <c r="F14" s="571"/>
      <c r="G14" s="572" t="s">
        <v>112</v>
      </c>
      <c r="H14" s="572"/>
      <c r="I14" s="573" t="s">
        <v>113</v>
      </c>
      <c r="J14" s="573"/>
      <c r="K14" s="574" t="s">
        <v>114</v>
      </c>
      <c r="L14" s="574"/>
      <c r="M14" s="575" t="s">
        <v>115</v>
      </c>
      <c r="N14" s="575"/>
      <c r="O14" s="555" t="s">
        <v>116</v>
      </c>
      <c r="P14" s="555"/>
      <c r="Q14" s="556" t="s">
        <v>117</v>
      </c>
      <c r="R14" s="557"/>
      <c r="S14" s="240"/>
      <c r="T14" s="243"/>
    </row>
    <row r="15" spans="1:22" ht="30" customHeight="1" thickTop="1" x14ac:dyDescent="0.25">
      <c r="A15" s="237"/>
      <c r="B15" s="238"/>
      <c r="C15" s="494" t="s">
        <v>118</v>
      </c>
      <c r="D15" s="495"/>
      <c r="E15" s="576">
        <f>'R22 beta II'!Q19</f>
        <v>8635</v>
      </c>
      <c r="F15" s="507"/>
      <c r="G15" s="506" t="str">
        <f>IFERROR(IF(SpecData!A104=TRUE,"-",'Perfo HOGE'!J78),"AFM 5-10")</f>
        <v>-</v>
      </c>
      <c r="H15" s="507"/>
      <c r="I15" s="506" t="str">
        <f>IFERROR(IF(SpecData!B104=TRUE,"-",'Perfo HOGE'!AB78),"AFM 5-10")</f>
        <v>-</v>
      </c>
      <c r="J15" s="507"/>
      <c r="K15" s="506" t="str">
        <f>IFERROR(IF(SpecData!C104=TRUE,"-",'Perfo HOGE'!AT78),"AFM 5-10")</f>
        <v>-</v>
      </c>
      <c r="L15" s="507"/>
      <c r="M15" s="506" t="str">
        <f>IFERROR(IF(SpecData!D104=TRUE,"-",'Perfo HOGE'!BM78),"AFM 5-10")</f>
        <v>-</v>
      </c>
      <c r="N15" s="507"/>
      <c r="O15" s="506" t="str">
        <f>IFERROR(IF(SpecData!E104=TRUE,"-",'Perfo HOGE'!CE78),"AFM 5-10")</f>
        <v>-</v>
      </c>
      <c r="P15" s="507"/>
      <c r="Q15" s="506" t="str">
        <f>IFERROR(IF(SpecData!F104=TRUE,"-",'Perfo HOGE'!CW78),"AFM 5-10")</f>
        <v>-</v>
      </c>
      <c r="R15" s="554"/>
      <c r="S15" s="240"/>
      <c r="T15" s="243"/>
    </row>
    <row r="16" spans="1:22" ht="30" customHeight="1" x14ac:dyDescent="0.25">
      <c r="A16" s="237"/>
      <c r="B16" s="238"/>
      <c r="C16" s="508" t="s">
        <v>119</v>
      </c>
      <c r="D16" s="509"/>
      <c r="E16" s="510">
        <f>IFERROR(15-(E15/1000*2)+$E7,"-")</f>
        <v>-2.2699999999999996</v>
      </c>
      <c r="F16" s="511"/>
      <c r="G16" s="511" t="str">
        <f>IFERROR(IF(SpecData!A104=TRUE,"-",15-(G15/1000*2)+E7),"-")</f>
        <v>-</v>
      </c>
      <c r="H16" s="511"/>
      <c r="I16" s="511" t="str">
        <f>IFERROR(IF(SpecData!B104=TRUE,"-",15-(I15/1000*2)+E7),"-")</f>
        <v>-</v>
      </c>
      <c r="J16" s="511"/>
      <c r="K16" s="512" t="str">
        <f>IFERROR(IF(SpecData!C104=TRUE,"-",15-(K15/1000*2)+E7),"-")</f>
        <v>-</v>
      </c>
      <c r="L16" s="512"/>
      <c r="M16" s="512" t="str">
        <f>IFERROR(IF(SpecData!D104=TRUE,"-",15-(M15/1000*2)+E7),"-")</f>
        <v>-</v>
      </c>
      <c r="N16" s="512"/>
      <c r="O16" s="492" t="str">
        <f>IFERROR(IF(SpecData!E104=TRUE,"-",15-(O15/1000*2)+E7),"-")</f>
        <v>-</v>
      </c>
      <c r="P16" s="492"/>
      <c r="Q16" s="492" t="str">
        <f>IFERROR(IF(SpecData!F104=TRUE,"-",15-(Q15/1000*2)+E7),"-")</f>
        <v>-</v>
      </c>
      <c r="R16" s="493"/>
      <c r="S16" s="240"/>
      <c r="T16" s="243"/>
    </row>
    <row r="17" spans="1:22" ht="15" customHeight="1" x14ac:dyDescent="0.25">
      <c r="A17" s="237"/>
      <c r="B17" s="238"/>
      <c r="C17" s="497" t="s">
        <v>120</v>
      </c>
      <c r="D17" s="498"/>
      <c r="E17" s="548">
        <f>(SpecData!C64+SpecData!C65)*SpecData!E23/SpecData!E27</f>
        <v>0</v>
      </c>
      <c r="F17" s="549"/>
      <c r="G17" s="503" t="str">
        <f>IF(SpecData!A104=TRUE,"-",(SpecData!C64+SpecData!C65)*SpecData!E23/SpecData!E27-(0.5*SpecData!E25))</f>
        <v>-</v>
      </c>
      <c r="H17" s="504"/>
      <c r="I17" s="503" t="str">
        <f>IF(SpecData!B104=TRUE,"-",(SpecData!C64+SpecData!C65)*SpecData!E23/SpecData!E27-(1*SpecData!E25))</f>
        <v>-</v>
      </c>
      <c r="J17" s="504"/>
      <c r="K17" s="503" t="str">
        <f>IF(SpecData!C104=TRUE,"-",(SpecData!C64+SpecData!C65)*SpecData!E23/SpecData!E27-(1.5*SpecData!E25))</f>
        <v>-</v>
      </c>
      <c r="L17" s="504"/>
      <c r="M17" s="503" t="str">
        <f>IF(SpecData!D104=TRUE,"-",(SpecData!C64+SpecData!C65)*SpecData!E23/SpecData!E27-(2*SpecData!E25))</f>
        <v>-</v>
      </c>
      <c r="N17" s="504"/>
      <c r="O17" s="503" t="str">
        <f>IF(SpecData!E104=TRUE,"-",(SpecData!C64+SpecData!C65)*SpecData!E23/SpecData!E27-(2.5*SpecData!E25))</f>
        <v>-</v>
      </c>
      <c r="P17" s="504"/>
      <c r="Q17" s="551" t="str">
        <f>IF(SpecData!F104=TRUE,"-",(SpecData!C64+SpecData!C65)*SpecData!E23/SpecData!E27-(3*SpecData!E25))</f>
        <v>-</v>
      </c>
      <c r="R17" s="552"/>
      <c r="S17" s="240"/>
      <c r="T17" s="243"/>
    </row>
    <row r="18" spans="1:22" ht="15" customHeight="1" x14ac:dyDescent="0.25">
      <c r="A18" s="237"/>
      <c r="B18" s="238"/>
      <c r="C18" s="499"/>
      <c r="D18" s="500"/>
      <c r="E18" s="501">
        <f>(SpecData!C64+SpecData!C65)/(SpecData!D10*SpecData!E27/SpecData!E23)</f>
        <v>0</v>
      </c>
      <c r="F18" s="502"/>
      <c r="G18" s="505" t="str">
        <f>IF(SpecData!A104=TRUE,"-",(SpecData!C64+SpecData!C65-(0.5*SpecData!E25*SpecData!E27/SpecData!E23))/(SpecData!D10*SpecData!E27/SpecData!E23))</f>
        <v>-</v>
      </c>
      <c r="H18" s="505"/>
      <c r="I18" s="505" t="str">
        <f>IF(SpecData!B104=TRUE,"-",(SpecData!C64+SpecData!C65-(1*SpecData!E25*SpecData!E27/SpecData!E23))/(SpecData!D10*SpecData!E27/SpecData!E23))</f>
        <v>-</v>
      </c>
      <c r="J18" s="505"/>
      <c r="K18" s="550" t="str">
        <f>IF(SpecData!C104=TRUE,"-",(SpecData!C64+SpecData!C65-(1.5*SpecData!E25*SpecData!E27/SpecData!E23))/(SpecData!D10*SpecData!E27/SpecData!E23))</f>
        <v>-</v>
      </c>
      <c r="L18" s="550"/>
      <c r="M18" s="550" t="str">
        <f>IF(SpecData!D104=TRUE,"-",(SpecData!C64+SpecData!C65-(2*SpecData!E25*SpecData!E27/SpecData!E23))/(SpecData!D10*SpecData!E27/SpecData!E23))</f>
        <v>-</v>
      </c>
      <c r="N18" s="550"/>
      <c r="O18" s="505" t="str">
        <f>IF(SpecData!E104=TRUE,"-",(SpecData!C64+SpecData!C65-(2.5*SpecData!E25*SpecData!E27/SpecData!E23))/(SpecData!D10*SpecData!E27/SpecData!E23))</f>
        <v>-</v>
      </c>
      <c r="P18" s="505"/>
      <c r="Q18" s="505" t="str">
        <f>IF(SpecData!F104=TRUE,"-",(SpecData!C64+SpecData!C65-(3*SpecData!E25*SpecData!E27/SpecData!E23))/(SpecData!D10*SpecData!E27/SpecData!E23))</f>
        <v>-</v>
      </c>
      <c r="R18" s="553"/>
      <c r="S18" s="240"/>
      <c r="T18" s="243"/>
    </row>
    <row r="19" spans="1:22" ht="30" customHeight="1" thickBot="1" x14ac:dyDescent="0.3">
      <c r="A19" s="237"/>
      <c r="B19" s="238"/>
      <c r="C19" s="543" t="s">
        <v>121</v>
      </c>
      <c r="D19" s="544"/>
      <c r="E19" s="545">
        <f>SpecData!C71</f>
        <v>556.44515328467151</v>
      </c>
      <c r="F19" s="546"/>
      <c r="G19" s="546" t="str">
        <f>IF(ROUND(SpecData!C63,0)&lt;SpecData!A105,SpecData!A105,"-")</f>
        <v>-</v>
      </c>
      <c r="H19" s="546"/>
      <c r="I19" s="546" t="str">
        <f>IF(ROUND(SpecData!C63,0)&lt;SpecData!B105,SpecData!B105,"-")</f>
        <v>-</v>
      </c>
      <c r="J19" s="546"/>
      <c r="K19" s="546" t="str">
        <f>IF(ROUND(SpecData!C63,0)&lt;SpecData!C105,SpecData!C105,"-")</f>
        <v>-</v>
      </c>
      <c r="L19" s="546"/>
      <c r="M19" s="546" t="str">
        <f>IF(ROUND(SpecData!C63,0)&lt;SpecData!D105,SpecData!D105,"-")</f>
        <v>-</v>
      </c>
      <c r="N19" s="546"/>
      <c r="O19" s="546" t="str">
        <f>IF(ROUND(SpecData!C63,0)&lt;SpecData!E105,SpecData!E105,"-")</f>
        <v>-</v>
      </c>
      <c r="P19" s="546"/>
      <c r="Q19" s="546" t="str">
        <f>IF(ROUND(SpecData!C63,0)&lt;SpecData!F105,SpecData!F105,"-")</f>
        <v>-</v>
      </c>
      <c r="R19" s="547"/>
      <c r="S19" s="240"/>
      <c r="T19" s="243"/>
    </row>
    <row r="20" spans="1:22" ht="30" customHeight="1" thickBot="1" x14ac:dyDescent="0.3">
      <c r="A20" s="237"/>
      <c r="B20" s="238"/>
      <c r="C20" s="257" t="s">
        <v>122</v>
      </c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9"/>
    </row>
    <row r="21" spans="1:22" ht="30" customHeight="1" thickBot="1" x14ac:dyDescent="0.3">
      <c r="A21" s="237"/>
      <c r="B21" s="238"/>
      <c r="C21" s="238"/>
      <c r="D21" s="533" t="s">
        <v>123</v>
      </c>
      <c r="E21" s="534"/>
      <c r="F21" s="534"/>
      <c r="G21" s="534"/>
      <c r="H21" s="534"/>
      <c r="I21" s="534"/>
      <c r="J21" s="534"/>
      <c r="K21" s="534"/>
      <c r="L21" s="534"/>
      <c r="M21" s="534"/>
      <c r="N21" s="535"/>
      <c r="O21" s="238"/>
      <c r="P21" s="238"/>
      <c r="Q21" s="238"/>
      <c r="R21" s="238"/>
      <c r="S21" s="238"/>
      <c r="T21" s="239"/>
    </row>
    <row r="22" spans="1:22" ht="30" customHeight="1" thickTop="1" x14ac:dyDescent="0.25">
      <c r="A22" s="237"/>
      <c r="B22" s="238"/>
      <c r="C22" s="238"/>
      <c r="D22" s="536" t="s">
        <v>124</v>
      </c>
      <c r="E22" s="537"/>
      <c r="F22" s="537"/>
      <c r="G22" s="244"/>
      <c r="H22" s="538">
        <f>K22/SpecData!E21</f>
        <v>2695.7317073170734</v>
      </c>
      <c r="I22" s="538"/>
      <c r="J22" s="245" t="s">
        <v>125</v>
      </c>
      <c r="K22" s="539">
        <v>8842</v>
      </c>
      <c r="L22" s="540"/>
      <c r="M22" s="541" t="s">
        <v>126</v>
      </c>
      <c r="N22" s="542"/>
      <c r="O22" s="238"/>
      <c r="P22" s="238"/>
      <c r="Q22" s="238"/>
      <c r="R22" s="238"/>
      <c r="S22" s="238"/>
      <c r="T22" s="239"/>
    </row>
    <row r="23" spans="1:22" ht="30" customHeight="1" x14ac:dyDescent="0.25">
      <c r="A23" s="237"/>
      <c r="B23" s="238"/>
      <c r="C23" s="238"/>
      <c r="D23" s="482" t="s">
        <v>17</v>
      </c>
      <c r="E23" s="483"/>
      <c r="F23" s="483"/>
      <c r="G23" s="246"/>
      <c r="H23" s="246"/>
      <c r="I23" s="246"/>
      <c r="J23" s="246"/>
      <c r="K23" s="290" t="str">
        <f>IF(L23&gt;0,"+"," ")</f>
        <v xml:space="preserve"> </v>
      </c>
      <c r="L23" s="247">
        <f>E7</f>
        <v>0</v>
      </c>
      <c r="M23" s="486" t="s">
        <v>110</v>
      </c>
      <c r="N23" s="486"/>
      <c r="O23" s="238"/>
      <c r="P23" s="238"/>
      <c r="Q23" s="238"/>
      <c r="R23" s="238"/>
      <c r="S23" s="238"/>
      <c r="T23" s="239"/>
    </row>
    <row r="24" spans="1:22" ht="30" customHeight="1" x14ac:dyDescent="0.25">
      <c r="A24" s="237"/>
      <c r="B24" s="238"/>
      <c r="C24" s="238"/>
      <c r="D24" s="482" t="s">
        <v>27</v>
      </c>
      <c r="E24" s="483"/>
      <c r="F24" s="483"/>
      <c r="G24" s="246"/>
      <c r="H24" s="246"/>
      <c r="I24" s="246"/>
      <c r="J24" s="246"/>
      <c r="K24" s="484">
        <f>H7</f>
        <v>1013</v>
      </c>
      <c r="L24" s="485"/>
      <c r="M24" s="486" t="s">
        <v>127</v>
      </c>
      <c r="N24" s="486"/>
      <c r="O24" s="238"/>
      <c r="P24" s="238"/>
      <c r="Q24" s="238"/>
      <c r="R24" s="238"/>
      <c r="S24" s="238"/>
      <c r="T24" s="239"/>
      <c r="V24" s="256"/>
    </row>
    <row r="25" spans="1:22" ht="30" customHeight="1" thickBot="1" x14ac:dyDescent="0.3">
      <c r="A25" s="237"/>
      <c r="B25" s="238"/>
      <c r="C25" s="238"/>
      <c r="D25" s="487" t="s">
        <v>128</v>
      </c>
      <c r="E25" s="488"/>
      <c r="F25" s="488"/>
      <c r="G25" s="488"/>
      <c r="H25" s="488"/>
      <c r="I25" s="488"/>
      <c r="J25" s="488"/>
      <c r="K25" s="488"/>
      <c r="L25" s="488"/>
      <c r="M25" s="488"/>
      <c r="N25" s="489"/>
      <c r="O25" s="238"/>
      <c r="P25" s="238"/>
      <c r="Q25" s="238"/>
      <c r="R25" s="238"/>
      <c r="S25" s="238"/>
      <c r="T25" s="239"/>
    </row>
    <row r="26" spans="1:22" ht="30" customHeight="1" thickTop="1" thickBot="1" x14ac:dyDescent="0.3">
      <c r="A26" s="237"/>
      <c r="B26" s="238"/>
      <c r="C26" s="238"/>
      <c r="D26" s="248" t="s">
        <v>129</v>
      </c>
      <c r="E26" s="249"/>
      <c r="F26" s="249"/>
      <c r="G26" s="249"/>
      <c r="H26" s="249"/>
      <c r="I26" s="249"/>
      <c r="J26" s="249"/>
      <c r="K26" s="490">
        <f>IF('R22 beta II'!Q14&gt;0,K22+((K22+(K24-1013)*'Perfo HOGE'!S25)*L23/10*0.04),K22+((K22+(K24-1013)*SpecData!E38)*L23/10*0.04))</f>
        <v>8842</v>
      </c>
      <c r="L26" s="490"/>
      <c r="M26" s="531" t="s">
        <v>126</v>
      </c>
      <c r="N26" s="532"/>
      <c r="O26" s="238"/>
      <c r="P26" s="238"/>
      <c r="Q26" s="238"/>
      <c r="R26" s="238"/>
      <c r="S26" s="238"/>
      <c r="T26" s="239"/>
    </row>
    <row r="27" spans="1:22" ht="30" customHeight="1" x14ac:dyDescent="0.25">
      <c r="A27" s="237"/>
      <c r="B27" s="238"/>
      <c r="C27" s="238"/>
      <c r="D27" s="238"/>
      <c r="E27" s="238"/>
      <c r="F27" s="238"/>
      <c r="G27" s="238"/>
      <c r="H27" s="238"/>
      <c r="I27" s="238"/>
      <c r="J27" s="238"/>
      <c r="K27" s="238"/>
      <c r="L27" s="238"/>
      <c r="M27" s="238"/>
      <c r="N27" s="238"/>
      <c r="O27" s="238"/>
      <c r="P27" s="238"/>
      <c r="Q27" s="238"/>
      <c r="R27" s="238"/>
      <c r="S27" s="238"/>
      <c r="T27" s="239"/>
    </row>
    <row r="28" spans="1:22" ht="15.75" x14ac:dyDescent="0.25">
      <c r="A28" s="237"/>
      <c r="B28" s="238"/>
      <c r="C28" s="238"/>
      <c r="D28" s="238"/>
      <c r="E28" s="238"/>
      <c r="F28" s="288" t="s">
        <v>79</v>
      </c>
      <c r="G28" s="496"/>
      <c r="H28" s="496"/>
      <c r="I28" s="496"/>
      <c r="J28" s="496"/>
      <c r="K28" s="328" t="s">
        <v>80</v>
      </c>
      <c r="L28" s="480">
        <f ca="1">TODAY()</f>
        <v>43845</v>
      </c>
      <c r="M28" s="481"/>
      <c r="N28" s="481"/>
      <c r="O28" s="250"/>
      <c r="P28" s="238"/>
      <c r="Q28" s="238"/>
      <c r="R28" s="238"/>
      <c r="S28" s="238"/>
      <c r="T28" s="239"/>
    </row>
    <row r="29" spans="1:22" x14ac:dyDescent="0.25">
      <c r="A29" s="237"/>
      <c r="B29" s="238"/>
      <c r="C29" s="238"/>
      <c r="D29" s="238"/>
      <c r="E29" s="238"/>
      <c r="F29" s="288" t="s">
        <v>82</v>
      </c>
      <c r="G29" s="460"/>
      <c r="H29" s="460"/>
      <c r="I29" s="460"/>
      <c r="J29" s="460"/>
      <c r="K29" s="460"/>
      <c r="L29" s="460"/>
      <c r="M29" s="460"/>
      <c r="N29" s="460"/>
      <c r="O29" s="250"/>
      <c r="P29" s="238"/>
      <c r="Q29" s="238"/>
      <c r="R29" s="238"/>
      <c r="S29" s="238"/>
      <c r="T29" s="239"/>
    </row>
    <row r="30" spans="1:22" ht="15.75" thickBot="1" x14ac:dyDescent="0.3">
      <c r="A30" s="251"/>
      <c r="B30" s="252"/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  <c r="R30" s="252"/>
      <c r="S30" s="252"/>
      <c r="T30" s="253"/>
    </row>
  </sheetData>
  <sheetProtection algorithmName="SHA-512" hashValue="En5DM4ac+DN4bdHodaIZT6upCmrRJ2JLlGnQ3KoLRwjNxGgF6wBh+XZERIUHa+/kCGHRwyGn1jn+jb1Ky04L2w==" saltValue="4Q8xhiDy5LmxXmGU/OnBlw==" spinCount="100000" sheet="1" objects="1" scenarios="1" selectLockedCells="1"/>
  <mergeCells count="100">
    <mergeCell ref="Q7:R7"/>
    <mergeCell ref="Q8:R8"/>
    <mergeCell ref="R3:T3"/>
    <mergeCell ref="D5:J5"/>
    <mergeCell ref="K5:R5"/>
    <mergeCell ref="D6:G6"/>
    <mergeCell ref="H6:J6"/>
    <mergeCell ref="K6:L6"/>
    <mergeCell ref="M6:N6"/>
    <mergeCell ref="O6:P6"/>
    <mergeCell ref="Q6:R6"/>
    <mergeCell ref="M2:O3"/>
    <mergeCell ref="J2:L3"/>
    <mergeCell ref="A2:I3"/>
    <mergeCell ref="C6:C9"/>
    <mergeCell ref="Q15:R15"/>
    <mergeCell ref="O14:P14"/>
    <mergeCell ref="Q14:R14"/>
    <mergeCell ref="Q9:R9"/>
    <mergeCell ref="E7:E9"/>
    <mergeCell ref="K8:L8"/>
    <mergeCell ref="M8:N8"/>
    <mergeCell ref="O8:P8"/>
    <mergeCell ref="F7:G9"/>
    <mergeCell ref="E14:F14"/>
    <mergeCell ref="G14:H14"/>
    <mergeCell ref="I14:J14"/>
    <mergeCell ref="K14:L14"/>
    <mergeCell ref="M14:N14"/>
    <mergeCell ref="E15:F15"/>
    <mergeCell ref="G15:H15"/>
    <mergeCell ref="I15:J15"/>
    <mergeCell ref="K15:L15"/>
    <mergeCell ref="M15:N15"/>
    <mergeCell ref="M19:N19"/>
    <mergeCell ref="O19:P19"/>
    <mergeCell ref="Q19:R19"/>
    <mergeCell ref="E17:F17"/>
    <mergeCell ref="G18:H18"/>
    <mergeCell ref="I18:J18"/>
    <mergeCell ref="K18:L18"/>
    <mergeCell ref="M18:N18"/>
    <mergeCell ref="I17:J17"/>
    <mergeCell ref="K17:L17"/>
    <mergeCell ref="M17:N17"/>
    <mergeCell ref="O17:P17"/>
    <mergeCell ref="Q17:R17"/>
    <mergeCell ref="Q18:R18"/>
    <mergeCell ref="D23:F23"/>
    <mergeCell ref="M23:N23"/>
    <mergeCell ref="C19:D19"/>
    <mergeCell ref="E19:F19"/>
    <mergeCell ref="G19:H19"/>
    <mergeCell ref="I19:J19"/>
    <mergeCell ref="K19:L19"/>
    <mergeCell ref="D21:N21"/>
    <mergeCell ref="D22:F22"/>
    <mergeCell ref="H22:I22"/>
    <mergeCell ref="K22:L22"/>
    <mergeCell ref="M22:N22"/>
    <mergeCell ref="K9:L9"/>
    <mergeCell ref="M9:N9"/>
    <mergeCell ref="O9:P9"/>
    <mergeCell ref="H7:J9"/>
    <mergeCell ref="D7:D9"/>
    <mergeCell ref="K7:L7"/>
    <mergeCell ref="M7:N7"/>
    <mergeCell ref="O7:P7"/>
    <mergeCell ref="O16:P16"/>
    <mergeCell ref="Q16:R16"/>
    <mergeCell ref="C15:D15"/>
    <mergeCell ref="G28:J28"/>
    <mergeCell ref="C17:D18"/>
    <mergeCell ref="E18:F18"/>
    <mergeCell ref="G17:H17"/>
    <mergeCell ref="O18:P18"/>
    <mergeCell ref="O15:P15"/>
    <mergeCell ref="C16:D16"/>
    <mergeCell ref="E16:F16"/>
    <mergeCell ref="G16:H16"/>
    <mergeCell ref="I16:J16"/>
    <mergeCell ref="K16:L16"/>
    <mergeCell ref="M16:N16"/>
    <mergeCell ref="M26:N26"/>
    <mergeCell ref="G29:N29"/>
    <mergeCell ref="F11:G11"/>
    <mergeCell ref="H11:H12"/>
    <mergeCell ref="I11:J11"/>
    <mergeCell ref="K11:K12"/>
    <mergeCell ref="L11:M11"/>
    <mergeCell ref="F12:G12"/>
    <mergeCell ref="I12:J12"/>
    <mergeCell ref="L12:M12"/>
    <mergeCell ref="L28:N28"/>
    <mergeCell ref="D24:F24"/>
    <mergeCell ref="K24:L24"/>
    <mergeCell ref="M24:N24"/>
    <mergeCell ref="D25:N25"/>
    <mergeCell ref="K26:L26"/>
    <mergeCell ref="C13:R13"/>
  </mergeCells>
  <conditionalFormatting sqref="K5">
    <cfRule type="cellIs" dxfId="34" priority="3" operator="equal">
      <formula>"!! FUEL TANK OVERLOADED AFM 4.3 !!"</formula>
    </cfRule>
  </conditionalFormatting>
  <conditionalFormatting sqref="E19:F19">
    <cfRule type="cellIs" dxfId="33" priority="2" operator="greaterThan">
      <formula>622</formula>
    </cfRule>
  </conditionalFormatting>
  <conditionalFormatting sqref="C13:R13">
    <cfRule type="cellIs" dxfId="32" priority="1" operator="equal">
      <formula>"↓   !! OVER WEIGHT AFM 2-3 !!"</formula>
    </cfRule>
  </conditionalFormatting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N105"/>
  <sheetViews>
    <sheetView workbookViewId="0">
      <selection activeCell="E24" sqref="E24"/>
    </sheetView>
  </sheetViews>
  <sheetFormatPr baseColWidth="10" defaultColWidth="10.7109375" defaultRowHeight="15" x14ac:dyDescent="0.25"/>
  <sheetData>
    <row r="1" spans="1:14" x14ac:dyDescent="0.25">
      <c r="A1" s="612" t="s">
        <v>130</v>
      </c>
      <c r="B1" s="613"/>
      <c r="C1" s="613"/>
      <c r="D1" s="613"/>
      <c r="E1" s="613"/>
      <c r="F1" s="613"/>
      <c r="G1" s="613"/>
      <c r="H1" s="614"/>
    </row>
    <row r="2" spans="1:14" ht="15.75" thickBot="1" x14ac:dyDescent="0.3">
      <c r="A2" s="615"/>
      <c r="B2" s="616"/>
      <c r="C2" s="616"/>
      <c r="D2" s="616"/>
      <c r="E2" s="616"/>
      <c r="F2" s="616"/>
      <c r="G2" s="616"/>
      <c r="H2" s="617"/>
    </row>
    <row r="3" spans="1:14" ht="15.75" thickTop="1" x14ac:dyDescent="0.25">
      <c r="A3" s="88"/>
      <c r="B3" s="89"/>
      <c r="C3" s="89"/>
      <c r="D3" s="89"/>
      <c r="E3" s="89"/>
      <c r="F3" s="89"/>
      <c r="G3" s="89"/>
      <c r="H3" s="90"/>
    </row>
    <row r="4" spans="1:14" x14ac:dyDescent="0.25">
      <c r="A4" s="88"/>
      <c r="B4" s="89"/>
      <c r="C4" s="91" t="s">
        <v>131</v>
      </c>
      <c r="D4" s="17"/>
      <c r="E4" s="17" t="s">
        <v>132</v>
      </c>
      <c r="F4" s="22"/>
      <c r="G4" s="262"/>
      <c r="H4" s="263"/>
      <c r="I4" s="261"/>
      <c r="J4" s="261"/>
      <c r="K4" s="261"/>
      <c r="L4" s="261"/>
      <c r="M4" s="261"/>
      <c r="N4" s="261"/>
    </row>
    <row r="5" spans="1:14" x14ac:dyDescent="0.25">
      <c r="A5" s="88"/>
      <c r="B5" s="89"/>
      <c r="C5" s="92" t="s">
        <v>133</v>
      </c>
      <c r="D5" s="18"/>
      <c r="E5" s="18" t="s">
        <v>134</v>
      </c>
      <c r="F5" s="21"/>
      <c r="G5" s="262"/>
      <c r="H5" s="263"/>
      <c r="I5" s="261"/>
      <c r="J5" s="261"/>
      <c r="K5" s="261"/>
      <c r="L5" s="261"/>
      <c r="M5" s="261"/>
      <c r="N5" s="261"/>
    </row>
    <row r="6" spans="1:14" x14ac:dyDescent="0.25">
      <c r="A6" s="88"/>
      <c r="B6" s="89"/>
      <c r="C6" s="92" t="s">
        <v>135</v>
      </c>
      <c r="D6" s="18"/>
      <c r="E6" s="18" t="s">
        <v>136</v>
      </c>
      <c r="F6" s="21"/>
      <c r="G6" s="262"/>
      <c r="H6" s="263"/>
      <c r="I6" s="261"/>
      <c r="J6" s="261"/>
      <c r="K6" s="261"/>
      <c r="L6" s="261"/>
      <c r="M6" s="261"/>
      <c r="N6" s="261"/>
    </row>
    <row r="7" spans="1:14" x14ac:dyDescent="0.25">
      <c r="A7" s="88"/>
      <c r="B7" s="89"/>
      <c r="C7" s="92"/>
      <c r="D7" s="18"/>
      <c r="E7" s="18"/>
      <c r="F7" s="21"/>
      <c r="G7" s="262"/>
      <c r="H7" s="263"/>
      <c r="I7" s="261"/>
      <c r="J7" s="261"/>
      <c r="K7" s="261"/>
      <c r="L7" s="261"/>
      <c r="M7" s="261"/>
      <c r="N7" s="261"/>
    </row>
    <row r="8" spans="1:14" x14ac:dyDescent="0.25">
      <c r="A8" s="88"/>
      <c r="B8" s="89"/>
      <c r="C8" s="92" t="s">
        <v>137</v>
      </c>
      <c r="D8" s="18"/>
      <c r="E8" s="93" t="s">
        <v>138</v>
      </c>
      <c r="F8" s="21"/>
      <c r="G8" s="262"/>
      <c r="H8" s="263"/>
      <c r="I8" s="261"/>
      <c r="J8" s="261"/>
      <c r="K8" s="261"/>
      <c r="L8" s="261"/>
      <c r="M8" s="261"/>
      <c r="N8" s="261"/>
    </row>
    <row r="9" spans="1:14" x14ac:dyDescent="0.25">
      <c r="A9" s="88"/>
      <c r="B9" s="89"/>
      <c r="C9" s="92" t="s">
        <v>139</v>
      </c>
      <c r="D9" s="18"/>
      <c r="E9" s="93" t="s">
        <v>140</v>
      </c>
      <c r="F9" s="21"/>
      <c r="G9" s="262"/>
      <c r="H9" s="263"/>
      <c r="I9" s="261"/>
      <c r="J9" s="261"/>
      <c r="K9" s="261"/>
      <c r="L9" s="261"/>
      <c r="M9" s="261"/>
      <c r="N9" s="261"/>
    </row>
    <row r="10" spans="1:14" x14ac:dyDescent="0.25">
      <c r="A10" s="88"/>
      <c r="B10" s="89"/>
      <c r="C10" s="92" t="s">
        <v>141</v>
      </c>
      <c r="D10" s="112">
        <f>IF(E10="with",26.3,29.7)</f>
        <v>29.7</v>
      </c>
      <c r="E10" s="93" t="s">
        <v>142</v>
      </c>
      <c r="F10" s="21" t="s">
        <v>143</v>
      </c>
      <c r="G10" s="267" t="str">
        <f>IF(E10="with","[USG] max 16,9","[USG] max 19,2")</f>
        <v>[USG] max 19,2</v>
      </c>
      <c r="H10" s="268" t="str">
        <f>IF(E10="with","[l] max 64","[l] max 73")</f>
        <v>[l] max 73</v>
      </c>
      <c r="I10" s="261"/>
      <c r="J10" s="261"/>
      <c r="K10" s="261"/>
      <c r="L10" s="261"/>
      <c r="M10" s="261"/>
      <c r="N10" s="261"/>
    </row>
    <row r="11" spans="1:14" x14ac:dyDescent="0.25">
      <c r="A11" s="88"/>
      <c r="B11" s="89"/>
      <c r="C11" s="92"/>
      <c r="D11" s="112">
        <f>IF(E10="with",100,112)</f>
        <v>112</v>
      </c>
      <c r="E11" s="18"/>
      <c r="F11" s="21"/>
      <c r="G11" s="267" t="str">
        <f>IF(E10="with","[USG] max 9,4","[USG] max 10,5")</f>
        <v>[USG] max 10,5</v>
      </c>
      <c r="H11" s="268" t="str">
        <f>IF(E10="with","[l] max 36","[l] max 40")</f>
        <v>[l] max 40</v>
      </c>
      <c r="I11" s="261"/>
      <c r="J11" s="261"/>
      <c r="K11" s="261"/>
      <c r="L11" s="261"/>
      <c r="M11" s="261"/>
      <c r="N11" s="261"/>
    </row>
    <row r="12" spans="1:14" x14ac:dyDescent="0.25">
      <c r="A12" s="88"/>
      <c r="B12" s="89"/>
      <c r="C12" s="92" t="s">
        <v>144</v>
      </c>
      <c r="D12" s="18"/>
      <c r="E12" s="111">
        <v>899.63</v>
      </c>
      <c r="F12" s="21" t="s">
        <v>145</v>
      </c>
      <c r="G12" s="267" t="str">
        <f>IF(E10="with","[USG] max 26,3","[USG] max 29,7")</f>
        <v>[USG] max 29,7</v>
      </c>
      <c r="H12" s="268" t="str">
        <f>IF(E10="with","[l] max 100","[l] max 112")</f>
        <v>[l] max 112</v>
      </c>
      <c r="I12" s="261"/>
      <c r="J12" s="261"/>
      <c r="K12" s="261"/>
      <c r="L12" s="261"/>
      <c r="M12" s="261"/>
      <c r="N12" s="261"/>
    </row>
    <row r="13" spans="1:14" x14ac:dyDescent="0.25">
      <c r="A13" s="88"/>
      <c r="B13" s="89"/>
      <c r="C13" s="92" t="s">
        <v>146</v>
      </c>
      <c r="D13" s="18"/>
      <c r="E13" s="111">
        <f>92805.8308/E12</f>
        <v>103.16</v>
      </c>
      <c r="F13" s="21" t="s">
        <v>147</v>
      </c>
      <c r="G13" s="262"/>
      <c r="H13" s="263"/>
      <c r="I13" s="261"/>
      <c r="J13" s="261"/>
      <c r="K13" s="261"/>
      <c r="L13" s="261"/>
      <c r="M13" s="261"/>
      <c r="N13" s="261"/>
    </row>
    <row r="14" spans="1:14" x14ac:dyDescent="0.25">
      <c r="A14" s="88"/>
      <c r="B14" s="89"/>
      <c r="C14" s="92" t="s">
        <v>148</v>
      </c>
      <c r="D14" s="18"/>
      <c r="E14" s="111">
        <f>116.952/E12</f>
        <v>0.1300001111568089</v>
      </c>
      <c r="F14" s="21" t="s">
        <v>147</v>
      </c>
      <c r="G14" s="262"/>
      <c r="H14" s="263"/>
      <c r="I14" s="261"/>
      <c r="J14" s="261"/>
      <c r="K14" s="261"/>
      <c r="L14" s="261"/>
      <c r="M14" s="261"/>
      <c r="N14" s="261"/>
    </row>
    <row r="15" spans="1:14" x14ac:dyDescent="0.25">
      <c r="A15" s="88"/>
      <c r="B15" s="89"/>
      <c r="C15" s="16"/>
      <c r="D15" s="19"/>
      <c r="E15" s="19"/>
      <c r="F15" s="20"/>
      <c r="G15" s="262"/>
      <c r="H15" s="263"/>
      <c r="I15" s="261"/>
      <c r="J15" s="261"/>
      <c r="K15" s="261"/>
      <c r="L15" s="261"/>
      <c r="M15" s="261"/>
      <c r="N15" s="261"/>
    </row>
    <row r="16" spans="1:14" ht="15.75" thickBot="1" x14ac:dyDescent="0.3">
      <c r="A16" s="94"/>
      <c r="B16" s="95"/>
      <c r="C16" s="95"/>
      <c r="D16" s="95"/>
      <c r="E16" s="95"/>
      <c r="F16" s="95"/>
      <c r="G16" s="264"/>
      <c r="H16" s="265"/>
      <c r="I16" s="261"/>
      <c r="J16" s="261"/>
      <c r="K16" s="261"/>
      <c r="L16" s="261"/>
      <c r="M16" s="261"/>
      <c r="N16" s="261"/>
    </row>
    <row r="17" spans="1:14" x14ac:dyDescent="0.25">
      <c r="A17" s="612" t="s">
        <v>149</v>
      </c>
      <c r="B17" s="613"/>
      <c r="C17" s="613"/>
      <c r="D17" s="613"/>
      <c r="E17" s="613"/>
      <c r="F17" s="613"/>
      <c r="G17" s="613"/>
      <c r="H17" s="614"/>
      <c r="I17" s="261"/>
      <c r="J17" s="261"/>
      <c r="K17" s="261"/>
      <c r="L17" s="261"/>
      <c r="M17" s="261"/>
      <c r="N17" s="261"/>
    </row>
    <row r="18" spans="1:14" ht="15.75" thickBot="1" x14ac:dyDescent="0.3">
      <c r="A18" s="615"/>
      <c r="B18" s="616"/>
      <c r="C18" s="616"/>
      <c r="D18" s="616"/>
      <c r="E18" s="616"/>
      <c r="F18" s="616"/>
      <c r="G18" s="616"/>
      <c r="H18" s="617"/>
    </row>
    <row r="19" spans="1:14" ht="15.75" thickTop="1" x14ac:dyDescent="0.25">
      <c r="A19" s="88"/>
      <c r="B19" s="89"/>
      <c r="C19" s="89"/>
      <c r="D19" s="89"/>
      <c r="E19" s="89"/>
      <c r="F19" s="89"/>
      <c r="G19" s="89"/>
      <c r="H19" s="90"/>
    </row>
    <row r="20" spans="1:14" x14ac:dyDescent="0.25">
      <c r="A20" s="88"/>
      <c r="B20" s="89"/>
      <c r="C20" s="618" t="s">
        <v>150</v>
      </c>
      <c r="D20" s="619"/>
      <c r="E20" s="1">
        <v>1.8520000000000001</v>
      </c>
      <c r="F20" s="22" t="s">
        <v>61</v>
      </c>
      <c r="G20" s="89"/>
      <c r="H20" s="90"/>
    </row>
    <row r="21" spans="1:14" x14ac:dyDescent="0.25">
      <c r="A21" s="88"/>
      <c r="B21" s="89"/>
      <c r="C21" s="620" t="s">
        <v>151</v>
      </c>
      <c r="D21" s="621"/>
      <c r="E21" s="1">
        <v>3.28</v>
      </c>
      <c r="F21" s="21" t="s">
        <v>126</v>
      </c>
      <c r="G21" s="89"/>
      <c r="H21" s="90"/>
    </row>
    <row r="22" spans="1:14" x14ac:dyDescent="0.25">
      <c r="A22" s="88"/>
      <c r="B22" s="89"/>
      <c r="C22" s="610" t="s">
        <v>152</v>
      </c>
      <c r="D22" s="611"/>
      <c r="E22" s="97">
        <f>1/E23</f>
        <v>0.45401459854014597</v>
      </c>
      <c r="F22" s="98" t="s">
        <v>12</v>
      </c>
      <c r="G22" s="89"/>
      <c r="H22" s="90"/>
    </row>
    <row r="23" spans="1:14" x14ac:dyDescent="0.25">
      <c r="A23" s="88"/>
      <c r="B23" s="89"/>
      <c r="C23" s="610" t="s">
        <v>153</v>
      </c>
      <c r="D23" s="611"/>
      <c r="E23" s="99">
        <f>1370/622</f>
        <v>2.202572347266881</v>
      </c>
      <c r="F23" s="21" t="s">
        <v>145</v>
      </c>
      <c r="G23" s="89"/>
      <c r="H23" s="90"/>
    </row>
    <row r="24" spans="1:14" x14ac:dyDescent="0.25">
      <c r="A24" s="88"/>
      <c r="B24" s="89"/>
      <c r="C24" s="610" t="s">
        <v>154</v>
      </c>
      <c r="D24" s="611"/>
      <c r="E24" s="99">
        <v>3.7850000000000001</v>
      </c>
      <c r="F24" s="98" t="s">
        <v>69</v>
      </c>
      <c r="G24" s="89"/>
      <c r="H24" s="90"/>
    </row>
    <row r="25" spans="1:14" x14ac:dyDescent="0.25">
      <c r="A25" s="88"/>
      <c r="B25" s="89"/>
      <c r="C25" s="610" t="s">
        <v>155</v>
      </c>
      <c r="D25" s="628"/>
      <c r="E25" s="99">
        <v>10</v>
      </c>
      <c r="F25" s="98" t="s">
        <v>156</v>
      </c>
      <c r="G25" s="89"/>
      <c r="H25" s="90"/>
    </row>
    <row r="26" spans="1:14" x14ac:dyDescent="0.25">
      <c r="A26" s="88"/>
      <c r="B26" s="89"/>
      <c r="C26" s="610" t="s">
        <v>155</v>
      </c>
      <c r="D26" s="611"/>
      <c r="E26" s="97">
        <f>E25*E24</f>
        <v>37.85</v>
      </c>
      <c r="F26" s="98" t="s">
        <v>157</v>
      </c>
      <c r="G26" s="89"/>
      <c r="H26" s="90"/>
    </row>
    <row r="27" spans="1:14" x14ac:dyDescent="0.25">
      <c r="A27" s="88"/>
      <c r="B27" s="89"/>
      <c r="C27" s="610" t="s">
        <v>158</v>
      </c>
      <c r="D27" s="611"/>
      <c r="E27" s="99">
        <v>6</v>
      </c>
      <c r="F27" s="21" t="s">
        <v>145</v>
      </c>
      <c r="G27" s="89"/>
      <c r="H27" s="90"/>
    </row>
    <row r="28" spans="1:14" x14ac:dyDescent="0.25">
      <c r="A28" s="88"/>
      <c r="B28" s="89"/>
      <c r="C28" s="610" t="s">
        <v>159</v>
      </c>
      <c r="D28" s="611"/>
      <c r="E28" s="100">
        <f>E27/E24</f>
        <v>1.5852047556142668</v>
      </c>
      <c r="F28" s="21" t="s">
        <v>145</v>
      </c>
      <c r="G28" s="89"/>
      <c r="H28" s="90"/>
    </row>
    <row r="29" spans="1:14" x14ac:dyDescent="0.25">
      <c r="A29" s="88"/>
      <c r="B29" s="89"/>
      <c r="C29" s="629" t="s">
        <v>159</v>
      </c>
      <c r="D29" s="630"/>
      <c r="E29" s="101">
        <f>E28/E23</f>
        <v>0.71970610072414154</v>
      </c>
      <c r="F29" s="102" t="s">
        <v>12</v>
      </c>
      <c r="G29" s="89"/>
      <c r="H29" s="90"/>
    </row>
    <row r="30" spans="1:14" ht="15.75" thickBot="1" x14ac:dyDescent="0.3">
      <c r="A30" s="94"/>
      <c r="B30" s="95"/>
      <c r="C30" s="95"/>
      <c r="D30" s="95"/>
      <c r="E30" s="95"/>
      <c r="F30" s="95"/>
      <c r="G30" s="95"/>
      <c r="H30" s="96"/>
    </row>
    <row r="31" spans="1:14" x14ac:dyDescent="0.25">
      <c r="A31" s="631" t="s">
        <v>160</v>
      </c>
      <c r="B31" s="632"/>
      <c r="C31" s="632"/>
      <c r="D31" s="632"/>
      <c r="E31" s="632"/>
      <c r="F31" s="632"/>
      <c r="G31" s="632"/>
      <c r="H31" s="632"/>
    </row>
    <row r="32" spans="1:14" ht="15.75" thickBot="1" x14ac:dyDescent="0.3">
      <c r="A32" s="631"/>
      <c r="B32" s="632"/>
      <c r="C32" s="632"/>
      <c r="D32" s="632"/>
      <c r="E32" s="632"/>
      <c r="F32" s="632"/>
      <c r="G32" s="632"/>
      <c r="H32" s="632"/>
    </row>
    <row r="33" spans="1:8" ht="15.75" thickTop="1" x14ac:dyDescent="0.25">
      <c r="A33" s="103"/>
      <c r="B33" s="104"/>
      <c r="C33" s="104"/>
      <c r="D33" s="104"/>
      <c r="E33" s="104"/>
      <c r="F33" s="104"/>
      <c r="G33" s="104"/>
      <c r="H33" s="105"/>
    </row>
    <row r="34" spans="1:8" x14ac:dyDescent="0.25">
      <c r="A34" s="88"/>
      <c r="B34" s="89"/>
      <c r="C34" s="14"/>
      <c r="D34" s="17"/>
      <c r="E34" s="17"/>
      <c r="F34" s="22"/>
      <c r="G34" s="89"/>
      <c r="H34" s="90"/>
    </row>
    <row r="35" spans="1:8" x14ac:dyDescent="0.25">
      <c r="A35" s="88"/>
      <c r="B35" s="89"/>
      <c r="C35" s="15"/>
      <c r="D35" s="18"/>
      <c r="E35" s="18"/>
      <c r="F35" s="21"/>
      <c r="G35" s="89"/>
      <c r="H35" s="90"/>
    </row>
    <row r="36" spans="1:8" x14ac:dyDescent="0.25">
      <c r="A36" s="88"/>
      <c r="B36" s="89"/>
      <c r="C36" s="106"/>
      <c r="D36" s="18"/>
      <c r="E36" s="18"/>
      <c r="F36" s="21"/>
      <c r="G36" s="89"/>
      <c r="H36" s="90"/>
    </row>
    <row r="37" spans="1:8" x14ac:dyDescent="0.25">
      <c r="A37" s="88"/>
      <c r="B37" s="89"/>
      <c r="C37" s="15"/>
      <c r="D37" s="18"/>
      <c r="E37" s="18"/>
      <c r="F37" s="21"/>
      <c r="G37" s="89"/>
      <c r="H37" s="90"/>
    </row>
    <row r="38" spans="1:8" x14ac:dyDescent="0.25">
      <c r="A38" s="88"/>
      <c r="B38" s="89"/>
      <c r="C38" s="107" t="s">
        <v>161</v>
      </c>
      <c r="D38" s="18"/>
      <c r="E38" s="1">
        <v>27</v>
      </c>
      <c r="F38" s="108" t="s">
        <v>162</v>
      </c>
      <c r="G38" s="89"/>
      <c r="H38" s="90"/>
    </row>
    <row r="39" spans="1:8" x14ac:dyDescent="0.25">
      <c r="A39" s="88"/>
      <c r="B39" s="89"/>
      <c r="C39" s="15"/>
      <c r="D39" s="18"/>
      <c r="E39" s="18"/>
      <c r="F39" s="21"/>
      <c r="G39" s="89"/>
      <c r="H39" s="90"/>
    </row>
    <row r="40" spans="1:8" x14ac:dyDescent="0.25">
      <c r="A40" s="88"/>
      <c r="B40" s="89"/>
      <c r="C40" s="109" t="s">
        <v>163</v>
      </c>
      <c r="D40" s="18"/>
      <c r="E40" s="110">
        <v>-200</v>
      </c>
      <c r="F40" s="108" t="s">
        <v>164</v>
      </c>
      <c r="G40" s="89"/>
      <c r="H40" s="90"/>
    </row>
    <row r="41" spans="1:8" x14ac:dyDescent="0.25">
      <c r="A41" s="88"/>
      <c r="B41" s="89"/>
      <c r="C41" s="15"/>
      <c r="D41" s="18"/>
      <c r="E41" s="18"/>
      <c r="F41" s="21"/>
      <c r="G41" s="89"/>
      <c r="H41" s="90"/>
    </row>
    <row r="42" spans="1:8" x14ac:dyDescent="0.25">
      <c r="A42" s="88"/>
      <c r="B42" s="89"/>
      <c r="C42" s="15"/>
      <c r="D42" s="18"/>
      <c r="E42" s="18"/>
      <c r="F42" s="21"/>
      <c r="G42" s="89"/>
      <c r="H42" s="90"/>
    </row>
    <row r="43" spans="1:8" x14ac:dyDescent="0.25">
      <c r="A43" s="88"/>
      <c r="B43" s="89"/>
      <c r="C43" s="15"/>
      <c r="D43" s="18"/>
      <c r="E43" s="18"/>
      <c r="F43" s="21"/>
      <c r="G43" s="89"/>
      <c r="H43" s="90"/>
    </row>
    <row r="44" spans="1:8" x14ac:dyDescent="0.25">
      <c r="A44" s="88"/>
      <c r="B44" s="89"/>
      <c r="C44" s="16"/>
      <c r="D44" s="19"/>
      <c r="E44" s="19"/>
      <c r="F44" s="20"/>
      <c r="G44" s="89"/>
      <c r="H44" s="90"/>
    </row>
    <row r="45" spans="1:8" ht="15.75" thickBot="1" x14ac:dyDescent="0.3">
      <c r="A45" s="94"/>
      <c r="B45" s="95"/>
      <c r="C45" s="95"/>
      <c r="D45" s="95"/>
      <c r="E45" s="95"/>
      <c r="F45" s="95"/>
      <c r="G45" s="95"/>
      <c r="H45" s="96"/>
    </row>
    <row r="50" spans="1:4" ht="15.75" thickBot="1" x14ac:dyDescent="0.3"/>
    <row r="51" spans="1:4" x14ac:dyDescent="0.25">
      <c r="A51" s="622" t="s">
        <v>165</v>
      </c>
      <c r="B51" s="623"/>
      <c r="C51" s="623"/>
      <c r="D51" s="624"/>
    </row>
    <row r="52" spans="1:4" ht="15.75" thickBot="1" x14ac:dyDescent="0.3">
      <c r="A52" s="625" t="s">
        <v>166</v>
      </c>
      <c r="B52" s="626"/>
      <c r="C52" s="626"/>
      <c r="D52" s="627"/>
    </row>
    <row r="53" spans="1:4" x14ac:dyDescent="0.25">
      <c r="A53" s="280"/>
      <c r="B53" s="274"/>
      <c r="C53" s="274"/>
      <c r="D53" s="275"/>
    </row>
    <row r="54" spans="1:4" x14ac:dyDescent="0.25">
      <c r="A54" s="272"/>
      <c r="B54" s="281" t="str">
        <f>'R22 beta II'!B6</f>
        <v>[kg]</v>
      </c>
      <c r="C54" s="282" t="s">
        <v>12</v>
      </c>
      <c r="D54" s="283" t="s">
        <v>145</v>
      </c>
    </row>
    <row r="55" spans="1:4" x14ac:dyDescent="0.25">
      <c r="A55" s="272"/>
      <c r="B55" s="273">
        <f>'R22 beta II'!B7</f>
        <v>408.44515328467156</v>
      </c>
      <c r="C55" s="273">
        <f t="shared" ref="C55:C62" si="0">IF(B$54="[kg]",B55,B55/E$23)</f>
        <v>408.44515328467156</v>
      </c>
      <c r="D55" s="276">
        <f>IF(B$54="[lbs]",B55,B55*2700/1225)</f>
        <v>900.24646030090878</v>
      </c>
    </row>
    <row r="56" spans="1:4" x14ac:dyDescent="0.25">
      <c r="A56" s="272"/>
      <c r="B56" s="273">
        <f>'R22 beta II'!B8</f>
        <v>75</v>
      </c>
      <c r="C56" s="273">
        <f t="shared" si="0"/>
        <v>75</v>
      </c>
      <c r="D56" s="276">
        <f t="shared" ref="D56:D62" si="1">IF(B$54="[lbs]",B56,B56*E$23)</f>
        <v>165.19292604501607</v>
      </c>
    </row>
    <row r="57" spans="1:4" x14ac:dyDescent="0.25">
      <c r="A57" s="272"/>
      <c r="B57" s="273">
        <f>'R22 beta II'!B9</f>
        <v>73</v>
      </c>
      <c r="C57" s="273">
        <f t="shared" si="0"/>
        <v>73</v>
      </c>
      <c r="D57" s="276">
        <f t="shared" si="1"/>
        <v>160.78778135048231</v>
      </c>
    </row>
    <row r="58" spans="1:4" x14ac:dyDescent="0.25">
      <c r="A58" s="284"/>
      <c r="B58" s="273">
        <f>'R22 beta II'!B10</f>
        <v>0</v>
      </c>
      <c r="C58" s="273">
        <f t="shared" si="0"/>
        <v>0</v>
      </c>
      <c r="D58" s="276">
        <f t="shared" si="1"/>
        <v>0</v>
      </c>
    </row>
    <row r="59" spans="1:4" x14ac:dyDescent="0.25">
      <c r="A59" s="272"/>
      <c r="B59" s="273">
        <f>'R22 beta II'!B11</f>
        <v>0</v>
      </c>
      <c r="C59" s="273">
        <f t="shared" si="0"/>
        <v>0</v>
      </c>
      <c r="D59" s="276">
        <f t="shared" si="1"/>
        <v>0</v>
      </c>
    </row>
    <row r="60" spans="1:4" x14ac:dyDescent="0.25">
      <c r="A60" s="272"/>
      <c r="B60" s="273">
        <f>'R22 beta II'!B12</f>
        <v>0</v>
      </c>
      <c r="C60" s="273">
        <f t="shared" si="0"/>
        <v>0</v>
      </c>
      <c r="D60" s="276">
        <f t="shared" si="1"/>
        <v>0</v>
      </c>
    </row>
    <row r="61" spans="1:4" x14ac:dyDescent="0.25">
      <c r="A61" s="272"/>
      <c r="B61" s="273">
        <f>'R22 beta II'!B13</f>
        <v>0</v>
      </c>
      <c r="C61" s="273">
        <f t="shared" si="0"/>
        <v>0</v>
      </c>
      <c r="D61" s="276">
        <f t="shared" si="1"/>
        <v>0</v>
      </c>
    </row>
    <row r="62" spans="1:4" x14ac:dyDescent="0.25">
      <c r="A62" s="272"/>
      <c r="B62" s="273">
        <f>'R22 beta II'!B14</f>
        <v>0</v>
      </c>
      <c r="C62" s="273">
        <f t="shared" si="0"/>
        <v>0</v>
      </c>
      <c r="D62" s="276">
        <f t="shared" si="1"/>
        <v>0</v>
      </c>
    </row>
    <row r="63" spans="1:4" x14ac:dyDescent="0.25">
      <c r="A63" s="272" t="s">
        <v>167</v>
      </c>
      <c r="B63" s="273"/>
      <c r="C63" s="273">
        <f>SUM(C55:C62)</f>
        <v>556.44515328467151</v>
      </c>
      <c r="D63" s="276">
        <f>SUM(D55:D62)</f>
        <v>1226.2271676964074</v>
      </c>
    </row>
    <row r="64" spans="1:4" x14ac:dyDescent="0.25">
      <c r="A64" s="272" t="s">
        <v>168</v>
      </c>
      <c r="B64" s="273"/>
      <c r="C64" s="273">
        <f>D75*E27/E23</f>
        <v>0</v>
      </c>
      <c r="D64" s="276">
        <f>D75*E27</f>
        <v>0</v>
      </c>
    </row>
    <row r="65" spans="1:4" x14ac:dyDescent="0.25">
      <c r="A65" s="272" t="s">
        <v>169</v>
      </c>
      <c r="B65" s="273"/>
      <c r="C65" s="273">
        <f>D76*E27/E23</f>
        <v>0</v>
      </c>
      <c r="D65" s="276">
        <f>D76*E27</f>
        <v>0</v>
      </c>
    </row>
    <row r="66" spans="1:4" x14ac:dyDescent="0.25">
      <c r="A66" s="272" t="s">
        <v>170</v>
      </c>
      <c r="B66" s="273"/>
      <c r="C66" s="273">
        <f>C83/E24*E27/E23*D79/D78</f>
        <v>0</v>
      </c>
      <c r="D66" s="276">
        <f>D83*E27*D79/D78</f>
        <v>0</v>
      </c>
    </row>
    <row r="67" spans="1:4" x14ac:dyDescent="0.25">
      <c r="A67" s="272" t="s">
        <v>171</v>
      </c>
      <c r="B67" s="273"/>
      <c r="C67" s="273">
        <f>C83/E24*E27/E23*D80/D78</f>
        <v>0</v>
      </c>
      <c r="D67" s="276">
        <f>D83*E27*D80/D78</f>
        <v>0</v>
      </c>
    </row>
    <row r="68" spans="1:4" x14ac:dyDescent="0.25">
      <c r="A68" s="272"/>
      <c r="B68" s="273"/>
      <c r="C68" s="273"/>
      <c r="D68" s="276"/>
    </row>
    <row r="69" spans="1:4" x14ac:dyDescent="0.25">
      <c r="A69" s="272" t="s">
        <v>41</v>
      </c>
      <c r="B69" s="273"/>
      <c r="C69" s="273">
        <f>C63+C66+C67</f>
        <v>556.44515328467151</v>
      </c>
      <c r="D69" s="276">
        <f>D63+D66+D67</f>
        <v>1226.2271676964074</v>
      </c>
    </row>
    <row r="70" spans="1:4" x14ac:dyDescent="0.25">
      <c r="A70" s="272"/>
      <c r="B70" s="273"/>
      <c r="C70" s="273"/>
      <c r="D70" s="276"/>
    </row>
    <row r="71" spans="1:4" x14ac:dyDescent="0.25">
      <c r="A71" s="272" t="s">
        <v>172</v>
      </c>
      <c r="B71" s="273"/>
      <c r="C71" s="273">
        <f>SUM(C63:C65)</f>
        <v>556.44515328467151</v>
      </c>
      <c r="D71" s="276">
        <f>SUM(D63:D65)</f>
        <v>1226.2271676964074</v>
      </c>
    </row>
    <row r="72" spans="1:4" x14ac:dyDescent="0.25">
      <c r="A72" s="272"/>
      <c r="B72" s="273"/>
      <c r="C72" s="273"/>
      <c r="D72" s="276"/>
    </row>
    <row r="73" spans="1:4" x14ac:dyDescent="0.25">
      <c r="A73" s="272"/>
      <c r="B73" s="273"/>
      <c r="C73" s="273"/>
      <c r="D73" s="276"/>
    </row>
    <row r="74" spans="1:4" x14ac:dyDescent="0.25">
      <c r="A74" s="272" t="s">
        <v>173</v>
      </c>
      <c r="B74" s="282" t="str">
        <f>'R22 beta II'!B27</f>
        <v>[USG]</v>
      </c>
      <c r="C74" s="282" t="s">
        <v>69</v>
      </c>
      <c r="D74" s="283" t="s">
        <v>53</v>
      </c>
    </row>
    <row r="75" spans="1:4" x14ac:dyDescent="0.25">
      <c r="A75" s="272" t="s">
        <v>174</v>
      </c>
      <c r="B75" s="273">
        <f>'R22 beta II'!B28</f>
        <v>0</v>
      </c>
      <c r="C75" s="273">
        <f>IF(B74="[l]",B75,B75*E24)</f>
        <v>0</v>
      </c>
      <c r="D75" s="276">
        <f>IF(B74="[USG]",B75,B75/E24)</f>
        <v>0</v>
      </c>
    </row>
    <row r="76" spans="1:4" x14ac:dyDescent="0.25">
      <c r="A76" s="272" t="s">
        <v>175</v>
      </c>
      <c r="B76" s="273">
        <f>'R22 beta II'!B29</f>
        <v>0</v>
      </c>
      <c r="C76" s="273">
        <f>IF(B74="[l]",B76,B76*E25)</f>
        <v>0</v>
      </c>
      <c r="D76" s="276">
        <f>IF(B74="[USG]",B76,B76/E24)</f>
        <v>0</v>
      </c>
    </row>
    <row r="77" spans="1:4" x14ac:dyDescent="0.25">
      <c r="A77" s="272"/>
      <c r="B77" s="273"/>
      <c r="C77" s="273"/>
      <c r="D77" s="276"/>
    </row>
    <row r="78" spans="1:4" x14ac:dyDescent="0.25">
      <c r="A78" s="272" t="s">
        <v>176</v>
      </c>
      <c r="B78" s="273"/>
      <c r="C78" s="285"/>
      <c r="D78" s="276">
        <f>IF(E10="with",26.3,29.7)</f>
        <v>29.7</v>
      </c>
    </row>
    <row r="79" spans="1:4" x14ac:dyDescent="0.25">
      <c r="A79" s="272" t="s">
        <v>177</v>
      </c>
      <c r="B79" s="273"/>
      <c r="C79" s="273"/>
      <c r="D79" s="276">
        <f>IF(E10="with",16.9,19.2)</f>
        <v>19.2</v>
      </c>
    </row>
    <row r="80" spans="1:4" x14ac:dyDescent="0.25">
      <c r="A80" s="272" t="s">
        <v>178</v>
      </c>
      <c r="B80" s="273"/>
      <c r="C80" s="273"/>
      <c r="D80" s="276">
        <f>IF(E10="with",9.4,10.5)</f>
        <v>10.5</v>
      </c>
    </row>
    <row r="81" spans="1:4" x14ac:dyDescent="0.25">
      <c r="A81" s="272"/>
      <c r="B81" s="273"/>
      <c r="C81" s="273"/>
      <c r="D81" s="276"/>
    </row>
    <row r="82" spans="1:4" x14ac:dyDescent="0.25">
      <c r="A82" s="272" t="s">
        <v>179</v>
      </c>
      <c r="B82" s="273"/>
      <c r="C82" s="273">
        <f>'R22 beta II'!Q30</f>
        <v>0</v>
      </c>
      <c r="D82" s="276">
        <f>'R22 beta II'!L30</f>
        <v>0</v>
      </c>
    </row>
    <row r="83" spans="1:4" x14ac:dyDescent="0.25">
      <c r="A83" s="272" t="s">
        <v>180</v>
      </c>
      <c r="B83" s="273"/>
      <c r="C83" s="273">
        <f>'R22 beta II'!Q31</f>
        <v>0</v>
      </c>
      <c r="D83" s="276">
        <f>'R22 beta II'!L31</f>
        <v>0</v>
      </c>
    </row>
    <row r="84" spans="1:4" x14ac:dyDescent="0.25">
      <c r="A84" s="286" t="s">
        <v>181</v>
      </c>
      <c r="B84" s="273"/>
      <c r="C84" s="273"/>
      <c r="D84" s="276"/>
    </row>
    <row r="85" spans="1:4" x14ac:dyDescent="0.25">
      <c r="A85" s="272" t="s">
        <v>182</v>
      </c>
      <c r="B85" s="273"/>
      <c r="C85" s="273" t="s">
        <v>183</v>
      </c>
      <c r="D85" s="276"/>
    </row>
    <row r="86" spans="1:4" x14ac:dyDescent="0.25">
      <c r="A86" s="272" t="s">
        <v>184</v>
      </c>
      <c r="B86" s="273" t="s">
        <v>185</v>
      </c>
      <c r="C86" s="273" t="s">
        <v>184</v>
      </c>
      <c r="D86" s="276" t="s">
        <v>185</v>
      </c>
    </row>
    <row r="87" spans="1:4" x14ac:dyDescent="0.25">
      <c r="A87" s="272">
        <v>95.5</v>
      </c>
      <c r="B87" s="273">
        <v>925</v>
      </c>
      <c r="C87" s="273">
        <v>95.5</v>
      </c>
      <c r="D87" s="276">
        <v>-0.8</v>
      </c>
    </row>
    <row r="88" spans="1:4" x14ac:dyDescent="0.25">
      <c r="A88" s="272">
        <v>95.5</v>
      </c>
      <c r="B88" s="273">
        <v>1275</v>
      </c>
      <c r="C88" s="273">
        <v>95.5</v>
      </c>
      <c r="D88" s="276">
        <v>1</v>
      </c>
    </row>
    <row r="89" spans="1:4" x14ac:dyDescent="0.25">
      <c r="A89" s="272">
        <v>96.5</v>
      </c>
      <c r="B89" s="273">
        <v>1370</v>
      </c>
      <c r="C89" s="273">
        <v>98</v>
      </c>
      <c r="D89" s="276">
        <v>2.6</v>
      </c>
    </row>
    <row r="90" spans="1:4" x14ac:dyDescent="0.25">
      <c r="A90" s="272">
        <v>100</v>
      </c>
      <c r="B90" s="273">
        <v>1370</v>
      </c>
      <c r="C90" s="273">
        <v>102</v>
      </c>
      <c r="D90" s="276">
        <v>1.2</v>
      </c>
    </row>
    <row r="91" spans="1:4" x14ac:dyDescent="0.25">
      <c r="A91" s="272">
        <v>102</v>
      </c>
      <c r="B91" s="273">
        <v>1175</v>
      </c>
      <c r="C91" s="273">
        <v>102</v>
      </c>
      <c r="D91" s="276">
        <v>-0.5</v>
      </c>
    </row>
    <row r="92" spans="1:4" x14ac:dyDescent="0.25">
      <c r="A92" s="272">
        <v>102</v>
      </c>
      <c r="B92" s="273">
        <v>925</v>
      </c>
      <c r="C92" s="273">
        <v>98</v>
      </c>
      <c r="D92" s="276">
        <v>-2.2000000000000002</v>
      </c>
    </row>
    <row r="93" spans="1:4" x14ac:dyDescent="0.25">
      <c r="A93" s="272">
        <v>95.5</v>
      </c>
      <c r="B93" s="273">
        <v>925</v>
      </c>
      <c r="C93" s="273">
        <v>97</v>
      </c>
      <c r="D93" s="276">
        <v>-2.2000000000000002</v>
      </c>
    </row>
    <row r="94" spans="1:4" x14ac:dyDescent="0.25">
      <c r="A94" s="272"/>
      <c r="B94" s="273"/>
      <c r="C94" s="273">
        <v>95.5</v>
      </c>
      <c r="D94" s="276">
        <v>-0.8</v>
      </c>
    </row>
    <row r="95" spans="1:4" x14ac:dyDescent="0.25">
      <c r="A95" s="272"/>
      <c r="B95" s="273"/>
      <c r="C95" s="273"/>
      <c r="D95" s="276"/>
    </row>
    <row r="96" spans="1:4" x14ac:dyDescent="0.25">
      <c r="A96" s="272" t="s">
        <v>186</v>
      </c>
      <c r="B96" s="273"/>
      <c r="C96" s="273"/>
      <c r="D96" s="276"/>
    </row>
    <row r="97" spans="1:6" x14ac:dyDescent="0.25">
      <c r="A97" s="272" t="s">
        <v>187</v>
      </c>
      <c r="B97" s="273"/>
      <c r="C97" s="273" t="s">
        <v>188</v>
      </c>
      <c r="D97" s="276"/>
    </row>
    <row r="98" spans="1:6" x14ac:dyDescent="0.25">
      <c r="A98" s="272" t="s">
        <v>184</v>
      </c>
      <c r="B98" s="273" t="s">
        <v>185</v>
      </c>
      <c r="C98" s="273" t="s">
        <v>184</v>
      </c>
      <c r="D98" s="276" t="s">
        <v>185</v>
      </c>
    </row>
    <row r="99" spans="1:6" x14ac:dyDescent="0.25">
      <c r="A99" s="272">
        <v>100</v>
      </c>
      <c r="B99" s="273">
        <v>800</v>
      </c>
      <c r="C99" s="273">
        <v>100</v>
      </c>
      <c r="D99" s="276">
        <v>4</v>
      </c>
    </row>
    <row r="100" spans="1:6" ht="15.75" thickBot="1" x14ac:dyDescent="0.3">
      <c r="A100" s="272">
        <v>100</v>
      </c>
      <c r="B100" s="273">
        <v>1500</v>
      </c>
      <c r="C100" s="273">
        <v>100</v>
      </c>
      <c r="D100" s="276">
        <v>-4</v>
      </c>
    </row>
    <row r="101" spans="1:6" x14ac:dyDescent="0.25">
      <c r="A101" s="272" t="s">
        <v>189</v>
      </c>
      <c r="B101" s="273"/>
      <c r="C101" s="273"/>
      <c r="D101" s="273"/>
      <c r="E101" s="274"/>
      <c r="F101" s="275"/>
    </row>
    <row r="102" spans="1:6" x14ac:dyDescent="0.25">
      <c r="A102" s="272">
        <v>30</v>
      </c>
      <c r="B102" s="273">
        <v>60</v>
      </c>
      <c r="C102" s="273">
        <v>90</v>
      </c>
      <c r="D102" s="273">
        <v>120</v>
      </c>
      <c r="E102" s="273">
        <v>150</v>
      </c>
      <c r="F102" s="276">
        <v>180</v>
      </c>
    </row>
    <row r="103" spans="1:6" x14ac:dyDescent="0.25">
      <c r="A103" s="272"/>
      <c r="B103" s="273"/>
      <c r="C103" s="273"/>
      <c r="D103" s="273"/>
      <c r="E103" s="273"/>
      <c r="F103" s="276"/>
    </row>
    <row r="104" spans="1:6" x14ac:dyDescent="0.25">
      <c r="A104" s="272" t="b">
        <f>IF(A105&lt;SpecData!C63,TRUE,FALSE)</f>
        <v>1</v>
      </c>
      <c r="B104" s="273" t="b">
        <f>IF(B105&lt;SpecData!C63,TRUE,FALSE)</f>
        <v>1</v>
      </c>
      <c r="C104" s="273" t="b">
        <f>IF(C105&lt;SpecData!C63,TRUE,FALSE)</f>
        <v>1</v>
      </c>
      <c r="D104" s="273" t="b">
        <f>IF(D105&lt;SpecData!C63,TRUE,FALSE)</f>
        <v>1</v>
      </c>
      <c r="E104" s="273" t="b">
        <f>IF(E105&lt;SpecData!C63,TRUE,FALSE)</f>
        <v>1</v>
      </c>
      <c r="F104" s="276" t="b">
        <f>IF(F105&lt;SpecData!C63,TRUE,FALSE)</f>
        <v>1</v>
      </c>
    </row>
    <row r="105" spans="1:6" ht="15.75" thickBot="1" x14ac:dyDescent="0.3">
      <c r="A105" s="277">
        <f>C71-(0.5*E25*E27/E23)</f>
        <v>542.82471532846716</v>
      </c>
      <c r="B105" s="278">
        <f>C71-(1*E25*E27/E23)</f>
        <v>529.20427737226271</v>
      </c>
      <c r="C105" s="278">
        <f>C71-(1.5*E25*E27/E23)</f>
        <v>515.58383941605837</v>
      </c>
      <c r="D105" s="278">
        <f>C71-(2*E25*E27/E23)</f>
        <v>501.96340145985397</v>
      </c>
      <c r="E105" s="278">
        <f>C71-(2.5*E25*E27/E23)</f>
        <v>488.34296350364963</v>
      </c>
      <c r="F105" s="279">
        <f>C71-(3*E25*E27/E23)</f>
        <v>474.72252554744523</v>
      </c>
    </row>
  </sheetData>
  <sheetProtection algorithmName="SHA-512" hashValue="5zkS12ymDs9r5ZlYLpWfFBz7/CSMuu0oW6jddjLdvlYilR4Mvv98j/FzzU4VVMgQFzK57PkYaZxHt8NGdCSfiw==" saltValue="V2VUkER6kHNX3IfG8movoQ==" spinCount="100000" sheet="1" objects="1" scenarios="1" selectLockedCells="1" selectUnlockedCells="1"/>
  <mergeCells count="15">
    <mergeCell ref="A51:D51"/>
    <mergeCell ref="A52:D52"/>
    <mergeCell ref="C25:D25"/>
    <mergeCell ref="C26:D26"/>
    <mergeCell ref="C27:D27"/>
    <mergeCell ref="C28:D28"/>
    <mergeCell ref="C29:D29"/>
    <mergeCell ref="A31:H32"/>
    <mergeCell ref="C24:D24"/>
    <mergeCell ref="A1:H2"/>
    <mergeCell ref="A17:H18"/>
    <mergeCell ref="C20:D20"/>
    <mergeCell ref="C22:D22"/>
    <mergeCell ref="C23:D23"/>
    <mergeCell ref="C21:D21"/>
  </mergeCells>
  <dataValidations count="1">
    <dataValidation type="list" allowBlank="1" showInputMessage="1" showErrorMessage="1" sqref="E10" xr:uid="{D3CDE573-B0FD-47E9-8C3C-3B6FF8EE083B}">
      <formula1>"With, Without"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DH307"/>
  <sheetViews>
    <sheetView workbookViewId="0">
      <selection activeCell="BM78" sqref="BM78"/>
    </sheetView>
  </sheetViews>
  <sheetFormatPr baseColWidth="10" defaultColWidth="10.7109375" defaultRowHeight="15" x14ac:dyDescent="0.25"/>
  <cols>
    <col min="13" max="13" width="12.28515625" customWidth="1"/>
    <col min="18" max="18" width="6.42578125" customWidth="1"/>
  </cols>
  <sheetData>
    <row r="1" spans="1:21" x14ac:dyDescent="0.25">
      <c r="A1" s="660" t="s">
        <v>190</v>
      </c>
      <c r="B1" s="661"/>
      <c r="C1" s="662"/>
      <c r="E1" s="663" t="s">
        <v>191</v>
      </c>
      <c r="F1" s="664"/>
      <c r="G1" s="664"/>
      <c r="H1" s="664"/>
      <c r="I1" s="664"/>
      <c r="J1" s="664"/>
      <c r="K1" s="664"/>
      <c r="L1" s="664"/>
    </row>
    <row r="2" spans="1:21" x14ac:dyDescent="0.25">
      <c r="A2" s="27" t="s">
        <v>192</v>
      </c>
      <c r="B2" s="27" t="s">
        <v>193</v>
      </c>
      <c r="C2" s="27" t="s">
        <v>194</v>
      </c>
      <c r="E2" s="113" t="s">
        <v>195</v>
      </c>
      <c r="F2" s="113" t="s">
        <v>196</v>
      </c>
      <c r="G2" s="113" t="s">
        <v>197</v>
      </c>
      <c r="H2" s="122" t="s">
        <v>198</v>
      </c>
      <c r="I2" s="113" t="s">
        <v>109</v>
      </c>
      <c r="J2" s="113" t="s">
        <v>199</v>
      </c>
      <c r="K2" s="113" t="s">
        <v>200</v>
      </c>
      <c r="L2" s="113" t="s">
        <v>201</v>
      </c>
    </row>
    <row r="3" spans="1:21" ht="15.75" thickBot="1" x14ac:dyDescent="0.3">
      <c r="A3" s="61" t="s">
        <v>202</v>
      </c>
      <c r="B3" s="61" t="s">
        <v>203</v>
      </c>
      <c r="C3" s="61" t="s">
        <v>203</v>
      </c>
      <c r="E3" s="62">
        <f>ROUND(SpecData!D71,0)</f>
        <v>1226</v>
      </c>
      <c r="F3" s="62">
        <f>'R22 beta II'!Q12</f>
        <v>1582</v>
      </c>
      <c r="G3" s="62">
        <f>'R22 beta II'!R9</f>
        <v>12</v>
      </c>
      <c r="H3" s="62">
        <f>'R22 beta II'!R7</f>
        <v>-5</v>
      </c>
      <c r="I3" s="62">
        <f>'R22 beta II'!Q13</f>
        <v>1013</v>
      </c>
      <c r="J3" s="62">
        <f>'R22 beta II'!Q14</f>
        <v>0</v>
      </c>
      <c r="K3" s="62">
        <f>SpecData!E40</f>
        <v>-200</v>
      </c>
      <c r="L3" s="62">
        <f>SpecData!E38</f>
        <v>27</v>
      </c>
    </row>
    <row r="4" spans="1:21" ht="16.5" thickTop="1" thickBot="1" x14ac:dyDescent="0.3">
      <c r="A4" s="60">
        <v>1067</v>
      </c>
      <c r="B4" s="60">
        <v>13084.7</v>
      </c>
      <c r="C4" s="60">
        <v>13580</v>
      </c>
    </row>
    <row r="5" spans="1:21" ht="15" customHeight="1" x14ac:dyDescent="0.25">
      <c r="A5" s="30">
        <v>1068</v>
      </c>
      <c r="B5" s="30">
        <v>13060.5</v>
      </c>
      <c r="C5" s="30">
        <v>13541.2</v>
      </c>
      <c r="E5" s="533" t="s">
        <v>204</v>
      </c>
      <c r="F5" s="534"/>
      <c r="G5" s="534"/>
      <c r="H5" s="534"/>
      <c r="I5" s="534"/>
      <c r="J5" s="534"/>
      <c r="K5" s="534"/>
      <c r="L5" s="534"/>
      <c r="M5" s="534"/>
      <c r="N5" s="534"/>
      <c r="O5" s="534"/>
      <c r="P5" s="535"/>
    </row>
    <row r="6" spans="1:21" ht="15.75" thickBot="1" x14ac:dyDescent="0.3">
      <c r="A6" s="30">
        <v>1069</v>
      </c>
      <c r="B6" s="30">
        <v>13036.3</v>
      </c>
      <c r="C6" s="30">
        <v>13502.4</v>
      </c>
      <c r="E6" s="633"/>
      <c r="F6" s="655"/>
      <c r="G6" s="655"/>
      <c r="H6" s="655"/>
      <c r="I6" s="655"/>
      <c r="J6" s="655"/>
      <c r="K6" s="655"/>
      <c r="L6" s="655"/>
      <c r="M6" s="655"/>
      <c r="N6" s="655"/>
      <c r="O6" s="655"/>
      <c r="P6" s="656"/>
      <c r="Q6" s="48" t="s">
        <v>205</v>
      </c>
      <c r="R6" s="48"/>
    </row>
    <row r="7" spans="1:21" x14ac:dyDescent="0.25">
      <c r="A7" s="30">
        <v>1070</v>
      </c>
      <c r="B7" s="30">
        <v>13012.1</v>
      </c>
      <c r="C7" s="30">
        <v>13463.6</v>
      </c>
      <c r="E7" s="36"/>
      <c r="I7" t="s">
        <v>206</v>
      </c>
      <c r="K7" s="7">
        <f>15-('Perfo HIGE'!F3/1000*2)</f>
        <v>11.836</v>
      </c>
      <c r="L7" t="s">
        <v>16</v>
      </c>
      <c r="M7" t="s">
        <v>207</v>
      </c>
      <c r="N7" s="134">
        <f>H3</f>
        <v>-5</v>
      </c>
      <c r="O7" t="s">
        <v>16</v>
      </c>
      <c r="P7" s="2"/>
      <c r="Q7" s="26" t="s">
        <v>208</v>
      </c>
      <c r="R7" s="51">
        <v>52</v>
      </c>
      <c r="S7" t="s">
        <v>209</v>
      </c>
    </row>
    <row r="8" spans="1:21" ht="15.75" thickBot="1" x14ac:dyDescent="0.3">
      <c r="A8" s="30">
        <v>1071</v>
      </c>
      <c r="B8" s="30">
        <v>12987.9</v>
      </c>
      <c r="C8" s="30">
        <v>13424.8</v>
      </c>
      <c r="E8" s="36"/>
      <c r="I8" t="s">
        <v>210</v>
      </c>
      <c r="K8" s="7">
        <f>'Perfo HIGE'!G3-K7</f>
        <v>0.1639999999999997</v>
      </c>
      <c r="L8" t="s">
        <v>16</v>
      </c>
      <c r="M8" t="s">
        <v>211</v>
      </c>
      <c r="N8" s="26">
        <f>'R22 beta II'!R8</f>
        <v>0</v>
      </c>
      <c r="O8" t="s">
        <v>16</v>
      </c>
      <c r="P8" s="2"/>
      <c r="Q8" t="s">
        <v>212</v>
      </c>
      <c r="R8" t="s">
        <v>213</v>
      </c>
      <c r="U8" t="s">
        <v>214</v>
      </c>
    </row>
    <row r="9" spans="1:21" x14ac:dyDescent="0.25">
      <c r="A9" s="30">
        <v>1072</v>
      </c>
      <c r="B9" s="30">
        <v>12963.7</v>
      </c>
      <c r="C9" s="30">
        <v>13386</v>
      </c>
      <c r="E9" s="31"/>
      <c r="F9" s="634" t="s">
        <v>215</v>
      </c>
      <c r="G9" s="634"/>
      <c r="H9" s="53"/>
      <c r="I9" s="57" t="s">
        <v>216</v>
      </c>
      <c r="J9" s="53"/>
      <c r="K9" s="32"/>
      <c r="L9" s="32"/>
      <c r="M9" s="634" t="s">
        <v>217</v>
      </c>
      <c r="N9" s="634"/>
      <c r="O9" s="32"/>
      <c r="P9" s="33"/>
      <c r="Q9" t="s">
        <v>218</v>
      </c>
      <c r="R9" t="s">
        <v>219</v>
      </c>
      <c r="U9" t="s">
        <v>220</v>
      </c>
    </row>
    <row r="10" spans="1:21" x14ac:dyDescent="0.25">
      <c r="A10" s="30">
        <v>1073</v>
      </c>
      <c r="B10" s="30">
        <v>12939.5</v>
      </c>
      <c r="C10" s="30">
        <v>13347.2</v>
      </c>
      <c r="E10" s="34"/>
      <c r="F10" s="657" t="b">
        <f>IF(N8&gt;K8,IF(ROUND(N8,0)&gt;0,TRUE,FALSE),IF(ROUND(K8,0)&gt;0,TRUE,FALSE))</f>
        <v>0</v>
      </c>
      <c r="G10" s="657"/>
      <c r="H10" s="54"/>
      <c r="I10" s="658" t="b">
        <f>IF(N8&gt;K8,IF(ROUND(N8,0)=0,TRUE,FALSE),IF(ROUND(K8,0)=0,TRUE,FALSE))</f>
        <v>1</v>
      </c>
      <c r="J10" s="659"/>
      <c r="K10" s="8"/>
      <c r="L10" s="8"/>
      <c r="M10" s="657" t="b">
        <f>IF(N8&gt;K8,IF(ROUND(N8,0)&lt;0,TRUE,FALSE),IF(ROUND(K8,0)&lt;0,TRUE,FALSE))</f>
        <v>0</v>
      </c>
      <c r="N10" s="657"/>
      <c r="O10" s="8"/>
      <c r="P10" s="35"/>
    </row>
    <row r="11" spans="1:21" x14ac:dyDescent="0.25">
      <c r="A11" s="30">
        <v>1074</v>
      </c>
      <c r="B11" s="30">
        <v>12915.3</v>
      </c>
      <c r="C11" s="30">
        <v>13308.4</v>
      </c>
      <c r="E11" s="36"/>
      <c r="H11" s="55"/>
      <c r="I11" s="58"/>
      <c r="J11" s="55"/>
      <c r="P11" s="2"/>
      <c r="Q11" s="48" t="s">
        <v>221</v>
      </c>
      <c r="R11" s="48"/>
    </row>
    <row r="12" spans="1:21" x14ac:dyDescent="0.25">
      <c r="A12" s="30">
        <v>1075</v>
      </c>
      <c r="B12" s="30">
        <v>12891.1</v>
      </c>
      <c r="C12" s="30">
        <v>13269.6</v>
      </c>
      <c r="E12" s="639" t="s">
        <v>222</v>
      </c>
      <c r="F12" s="636"/>
      <c r="G12" s="636"/>
      <c r="H12" s="642"/>
      <c r="I12" s="58"/>
      <c r="J12" s="55"/>
      <c r="L12" s="636" t="s">
        <v>222</v>
      </c>
      <c r="M12" s="636"/>
      <c r="N12" s="636"/>
      <c r="O12" s="636"/>
      <c r="P12" s="2"/>
      <c r="Q12" s="26" t="s">
        <v>208</v>
      </c>
      <c r="R12" s="51">
        <v>88.8</v>
      </c>
      <c r="S12" t="s">
        <v>209</v>
      </c>
    </row>
    <row r="13" spans="1:21" x14ac:dyDescent="0.25">
      <c r="A13" s="30">
        <v>1076</v>
      </c>
      <c r="B13" s="30">
        <v>12866.9</v>
      </c>
      <c r="C13" s="30">
        <v>13230.8</v>
      </c>
      <c r="E13" s="36"/>
      <c r="F13" s="7">
        <f>IF(N8&gt;K8,1345-(N8*R17),1345-(K8*R17))</f>
        <v>1344.90628548</v>
      </c>
      <c r="G13" t="s">
        <v>94</v>
      </c>
      <c r="H13" s="55"/>
      <c r="I13" s="58"/>
      <c r="J13" s="55"/>
      <c r="M13" s="7">
        <f>IF(N8&gt;K8,1345-(N8*R17),1345-(K8*R17))</f>
        <v>1344.90628548</v>
      </c>
      <c r="N13" t="s">
        <v>94</v>
      </c>
      <c r="P13" s="2"/>
      <c r="Q13" t="s">
        <v>223</v>
      </c>
      <c r="R13" t="s">
        <v>224</v>
      </c>
      <c r="U13" t="s">
        <v>225</v>
      </c>
    </row>
    <row r="14" spans="1:21" x14ac:dyDescent="0.25">
      <c r="A14" s="30">
        <v>1077</v>
      </c>
      <c r="B14" s="30">
        <v>12842.7</v>
      </c>
      <c r="C14" s="30">
        <v>13192</v>
      </c>
      <c r="E14" s="36"/>
      <c r="H14" s="55"/>
      <c r="I14" s="58"/>
      <c r="J14" s="55"/>
      <c r="P14" s="2"/>
      <c r="Q14" t="s">
        <v>226</v>
      </c>
      <c r="R14" t="s">
        <v>227</v>
      </c>
      <c r="U14" t="s">
        <v>228</v>
      </c>
    </row>
    <row r="15" spans="1:21" x14ac:dyDescent="0.25">
      <c r="A15" s="30">
        <v>1078</v>
      </c>
      <c r="B15" s="30">
        <v>12818.5</v>
      </c>
      <c r="C15" s="30">
        <v>13153.2</v>
      </c>
      <c r="E15" s="36"/>
      <c r="H15" s="55"/>
      <c r="I15" s="58"/>
      <c r="J15" s="55"/>
      <c r="P15" s="2"/>
    </row>
    <row r="16" spans="1:21" x14ac:dyDescent="0.25">
      <c r="A16" s="30">
        <v>1079</v>
      </c>
      <c r="B16" s="30">
        <v>12794.3</v>
      </c>
      <c r="C16" s="30">
        <v>13114.4</v>
      </c>
      <c r="E16" s="649" t="s">
        <v>229</v>
      </c>
      <c r="F16" s="650"/>
      <c r="G16" s="651" t="s">
        <v>230</v>
      </c>
      <c r="H16" s="652"/>
      <c r="I16" s="653"/>
      <c r="J16" s="652"/>
      <c r="K16" s="653" t="s">
        <v>231</v>
      </c>
      <c r="L16" s="650"/>
      <c r="M16" s="651" t="s">
        <v>232</v>
      </c>
      <c r="N16" s="650"/>
      <c r="O16" s="651" t="s">
        <v>230</v>
      </c>
      <c r="P16" s="654"/>
      <c r="Q16" s="48" t="s">
        <v>233</v>
      </c>
      <c r="R16" s="48"/>
      <c r="S16" s="48"/>
    </row>
    <row r="17" spans="1:20" x14ac:dyDescent="0.25">
      <c r="A17" s="30">
        <v>1080</v>
      </c>
      <c r="B17" s="30">
        <v>12770.1</v>
      </c>
      <c r="C17" s="30">
        <v>13075.6</v>
      </c>
      <c r="E17" s="645" t="b">
        <f>IF(E3&lt;=F13,TRUE,FALSE)</f>
        <v>1</v>
      </c>
      <c r="F17" s="646"/>
      <c r="G17" s="637" t="b">
        <f>IF(E3&gt;F13,TRUE,FALSE)</f>
        <v>0</v>
      </c>
      <c r="H17" s="647"/>
      <c r="I17" s="648" t="b">
        <f>IF(N8&gt;K8,IF(ROUND(N8,0)=0,TRUE,FALSE),IF(ROUND(K8,0)=0,TRUE,FALSE))</f>
        <v>1</v>
      </c>
      <c r="J17" s="647"/>
      <c r="K17" s="648" t="b">
        <f>IF(E3&lt;=1345,TRUE,FALSE)</f>
        <v>1</v>
      </c>
      <c r="L17" s="646"/>
      <c r="M17" s="637" t="b">
        <f>IF(AND(1345&lt;E3,E3&lt;M13),TRUE,FALSE)</f>
        <v>0</v>
      </c>
      <c r="N17" s="646"/>
      <c r="O17" s="637" t="b">
        <f>IF(E3&gt;M13,TRUE,FALSE)</f>
        <v>0</v>
      </c>
      <c r="P17" s="638"/>
      <c r="Q17" s="26" t="s">
        <v>234</v>
      </c>
      <c r="R17" s="52">
        <v>0.57142999999999999</v>
      </c>
      <c r="S17" t="s">
        <v>235</v>
      </c>
    </row>
    <row r="18" spans="1:20" x14ac:dyDescent="0.25">
      <c r="A18" s="30">
        <v>1081</v>
      </c>
      <c r="B18" s="30">
        <v>12745.9</v>
      </c>
      <c r="C18" s="30">
        <v>13036.8</v>
      </c>
      <c r="E18" s="36"/>
      <c r="F18" s="6"/>
      <c r="G18" s="5"/>
      <c r="H18" s="55"/>
      <c r="I18" s="58"/>
      <c r="J18" s="55"/>
      <c r="L18" s="6"/>
      <c r="M18" s="5"/>
      <c r="N18" s="6"/>
      <c r="O18" s="5"/>
      <c r="P18" s="2"/>
      <c r="Q18" t="s">
        <v>236</v>
      </c>
    </row>
    <row r="19" spans="1:20" x14ac:dyDescent="0.25">
      <c r="A19" s="30">
        <v>1082</v>
      </c>
      <c r="B19" s="30">
        <v>12721.7</v>
      </c>
      <c r="C19" s="30">
        <v>12998</v>
      </c>
      <c r="E19" s="639" t="s">
        <v>237</v>
      </c>
      <c r="F19" s="640"/>
      <c r="G19" s="641" t="s">
        <v>237</v>
      </c>
      <c r="H19" s="642"/>
      <c r="I19" s="643" t="s">
        <v>238</v>
      </c>
      <c r="J19" s="642"/>
      <c r="K19" s="643" t="s">
        <v>237</v>
      </c>
      <c r="L19" s="640"/>
      <c r="M19" s="641" t="s">
        <v>237</v>
      </c>
      <c r="N19" s="640"/>
      <c r="O19" s="641" t="s">
        <v>237</v>
      </c>
      <c r="P19" s="644"/>
    </row>
    <row r="20" spans="1:20" ht="15.75" thickBot="1" x14ac:dyDescent="0.3">
      <c r="A20" s="30">
        <v>1083</v>
      </c>
      <c r="B20" s="30">
        <v>12697.5</v>
      </c>
      <c r="C20" s="30">
        <v>12959.2</v>
      </c>
      <c r="E20" s="37">
        <f>IF(N8&gt;K8,VLOOKUP(E3,A4:C307,3,TRUE)-(R7*N8),VLOOKUP(E3,A4:C307,3,TRUE)-(R7*K8))</f>
        <v>8826.4719999999998</v>
      </c>
      <c r="F20" s="38" t="s">
        <v>25</v>
      </c>
      <c r="G20" s="39">
        <f>IF(N8&gt;K8,(-73.32*E3+104996)-(N8*R12),(-73.32*E3+104996)-(K8*R12))</f>
        <v>15091.116800000007</v>
      </c>
      <c r="H20" s="56" t="s">
        <v>25</v>
      </c>
      <c r="I20" s="59">
        <f>VLOOKUP(E3,A4:C307,3,TRUE)</f>
        <v>8835</v>
      </c>
      <c r="J20" s="56" t="s">
        <v>25</v>
      </c>
      <c r="K20" s="45">
        <f>IF(N8&gt;K8,VLOOKUP(E3,A4:C307,3,TRUE)-(R7*N8),VLOOKUP(E3,A4:C307,3,TRUE)-(R7*K8))</f>
        <v>8826.4719999999998</v>
      </c>
      <c r="L20" s="38" t="s">
        <v>25</v>
      </c>
      <c r="M20" s="39">
        <f>IF(N8&gt;K8,(-23.2889*E3+37704.6)-(R7*N8),(-23.2889*E3+37704.6)-(R7*K8))</f>
        <v>9143.880599999995</v>
      </c>
      <c r="N20" s="38" t="s">
        <v>25</v>
      </c>
      <c r="O20" s="39">
        <f>IF(N8&gt;K8,(-73.32*E3+104996)-(R12*N8),(-73.32*E3+104996)-(R12*K8))</f>
        <v>15091.116800000007</v>
      </c>
      <c r="P20" s="40" t="s">
        <v>25</v>
      </c>
    </row>
    <row r="21" spans="1:20" ht="15.75" thickBot="1" x14ac:dyDescent="0.3">
      <c r="A21" s="30">
        <v>1084</v>
      </c>
      <c r="B21" s="30">
        <v>12673.3</v>
      </c>
      <c r="C21" s="30">
        <v>12920.4</v>
      </c>
      <c r="E21" s="46">
        <f>IF(AND(F10,E17),E20,0)</f>
        <v>0</v>
      </c>
      <c r="F21" s="43" t="s">
        <v>25</v>
      </c>
      <c r="G21" s="47">
        <f>IF(AND(F10,G17),G20,0)</f>
        <v>0</v>
      </c>
      <c r="H21" s="43" t="s">
        <v>25</v>
      </c>
      <c r="I21" s="47">
        <f>IF(AND(I10,I17),I20,0)</f>
        <v>8835</v>
      </c>
      <c r="J21" s="43" t="s">
        <v>25</v>
      </c>
      <c r="K21" s="47">
        <f>IF(AND(M10,K17),K20,0)</f>
        <v>0</v>
      </c>
      <c r="L21" s="43" t="s">
        <v>25</v>
      </c>
      <c r="M21" s="47">
        <f>IF(AND(M10,M17),M20,0)</f>
        <v>0</v>
      </c>
      <c r="N21" s="43" t="s">
        <v>25</v>
      </c>
      <c r="O21" s="47">
        <f>IF(AND(M10,O17),O20,0)</f>
        <v>0</v>
      </c>
      <c r="P21" s="44" t="s">
        <v>25</v>
      </c>
    </row>
    <row r="22" spans="1:20" x14ac:dyDescent="0.25">
      <c r="A22" s="30">
        <v>1085</v>
      </c>
      <c r="B22" s="30">
        <v>12649.1</v>
      </c>
      <c r="C22" s="30">
        <v>12881.6</v>
      </c>
      <c r="E22" s="533" t="s">
        <v>34</v>
      </c>
      <c r="F22" s="32"/>
      <c r="G22" s="32"/>
      <c r="H22" s="32"/>
      <c r="I22" s="634" t="s">
        <v>239</v>
      </c>
      <c r="J22" s="634"/>
      <c r="K22" s="634"/>
      <c r="L22" s="634"/>
      <c r="M22" s="32"/>
      <c r="N22" s="32"/>
      <c r="O22" s="32"/>
      <c r="P22" s="33"/>
    </row>
    <row r="23" spans="1:20" ht="15.75" thickBot="1" x14ac:dyDescent="0.3">
      <c r="A23" s="30">
        <v>1086</v>
      </c>
      <c r="B23" s="30">
        <v>12624.9</v>
      </c>
      <c r="C23" s="30">
        <v>12842.8</v>
      </c>
      <c r="E23" s="633"/>
      <c r="F23" s="42"/>
      <c r="G23" s="42"/>
      <c r="H23" s="42"/>
      <c r="J23" s="45">
        <f>SUM(E21+G21+I21+K21+M21+O21+K3)</f>
        <v>8635</v>
      </c>
      <c r="K23" s="42" t="s">
        <v>25</v>
      </c>
      <c r="L23" s="42"/>
      <c r="M23" s="42"/>
      <c r="N23" s="42"/>
      <c r="O23" s="42"/>
      <c r="P23" s="40"/>
    </row>
    <row r="24" spans="1:20" ht="15.75" thickBot="1" x14ac:dyDescent="0.3">
      <c r="A24" s="28">
        <v>1087</v>
      </c>
      <c r="B24" s="28">
        <v>12600</v>
      </c>
      <c r="C24" s="28">
        <v>12803</v>
      </c>
      <c r="E24" s="533" t="s">
        <v>240</v>
      </c>
      <c r="F24" s="32"/>
      <c r="G24" s="32"/>
      <c r="H24" s="32"/>
      <c r="I24" s="634" t="s">
        <v>241</v>
      </c>
      <c r="J24" s="634"/>
      <c r="K24" s="634"/>
      <c r="L24" s="634"/>
      <c r="M24" s="32"/>
      <c r="N24" s="32"/>
      <c r="O24" s="32"/>
      <c r="P24" s="33"/>
    </row>
    <row r="25" spans="1:20" ht="15.75" customHeight="1" thickTop="1" thickBot="1" x14ac:dyDescent="0.3">
      <c r="A25" s="27">
        <v>1088</v>
      </c>
      <c r="B25" s="29">
        <v>12581</v>
      </c>
      <c r="C25" s="29">
        <v>12757.8</v>
      </c>
      <c r="E25" s="635"/>
      <c r="I25" s="636" t="s">
        <v>242</v>
      </c>
      <c r="J25" s="636"/>
      <c r="K25" s="636"/>
      <c r="L25" s="636"/>
      <c r="P25" s="2"/>
      <c r="R25" s="74" t="s">
        <v>243</v>
      </c>
      <c r="S25" s="75" t="e">
        <f>(('Perfo HIGE'!G3+273)*96)/'Perfo HIGE'!J3</f>
        <v>#DIV/0!</v>
      </c>
      <c r="T25" s="76" t="s">
        <v>162</v>
      </c>
    </row>
    <row r="26" spans="1:20" ht="16.5" thickTop="1" thickBot="1" x14ac:dyDescent="0.3">
      <c r="A26" s="27">
        <v>1089</v>
      </c>
      <c r="B26" s="29">
        <v>12562</v>
      </c>
      <c r="C26" s="29">
        <v>12712.6</v>
      </c>
      <c r="E26" s="633"/>
      <c r="F26" s="42"/>
      <c r="G26" s="42"/>
      <c r="H26" s="42"/>
      <c r="I26" s="42"/>
      <c r="J26" s="49">
        <f>IF(J3&gt;0,J23+((I3-1013)*S25),J23+((I3-1013)*L3))</f>
        <v>8635</v>
      </c>
      <c r="K26" s="50" t="s">
        <v>25</v>
      </c>
      <c r="L26" s="42"/>
      <c r="M26" s="42"/>
      <c r="N26" s="42"/>
      <c r="O26" s="42"/>
      <c r="P26" s="40"/>
      <c r="R26" s="77"/>
      <c r="S26" s="78"/>
      <c r="T26" s="79"/>
    </row>
    <row r="27" spans="1:20" x14ac:dyDescent="0.25">
      <c r="A27" s="27">
        <v>1090</v>
      </c>
      <c r="B27" s="29">
        <v>12543</v>
      </c>
      <c r="C27" s="29">
        <v>12667.4</v>
      </c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R27" s="77"/>
      <c r="S27" s="78"/>
      <c r="T27" s="79"/>
    </row>
    <row r="28" spans="1:20" x14ac:dyDescent="0.25">
      <c r="A28" s="27">
        <v>1091</v>
      </c>
      <c r="B28" s="29">
        <v>12524</v>
      </c>
      <c r="C28" s="29">
        <v>12622.2</v>
      </c>
      <c r="I28" s="87"/>
      <c r="J28" s="87"/>
      <c r="K28" s="87"/>
      <c r="R28" s="77"/>
      <c r="S28" s="78"/>
      <c r="T28" s="79"/>
    </row>
    <row r="29" spans="1:20" x14ac:dyDescent="0.25">
      <c r="A29" s="27">
        <v>1092</v>
      </c>
      <c r="B29" s="29">
        <v>12505</v>
      </c>
      <c r="C29" s="29">
        <v>12577</v>
      </c>
      <c r="R29" s="77"/>
      <c r="S29" s="78"/>
      <c r="T29" s="79"/>
    </row>
    <row r="30" spans="1:20" x14ac:dyDescent="0.25">
      <c r="A30" s="27">
        <v>1093</v>
      </c>
      <c r="B30" s="29">
        <v>12486</v>
      </c>
      <c r="C30" s="29">
        <v>12531.8</v>
      </c>
      <c r="R30" s="77"/>
      <c r="S30" s="78"/>
      <c r="T30" s="79"/>
    </row>
    <row r="31" spans="1:20" x14ac:dyDescent="0.25">
      <c r="A31" s="27">
        <v>1094</v>
      </c>
      <c r="B31" s="29">
        <v>12467</v>
      </c>
      <c r="C31" s="29">
        <v>12486.6</v>
      </c>
      <c r="R31" s="77"/>
      <c r="S31" s="78"/>
      <c r="T31" s="79"/>
    </row>
    <row r="32" spans="1:20" x14ac:dyDescent="0.25">
      <c r="A32" s="27">
        <v>1095</v>
      </c>
      <c r="B32" s="29">
        <v>12448</v>
      </c>
      <c r="C32" s="29">
        <v>12441.4</v>
      </c>
      <c r="R32" s="77"/>
      <c r="S32" s="78"/>
      <c r="T32" s="79"/>
    </row>
    <row r="33" spans="1:20" x14ac:dyDescent="0.25">
      <c r="A33" s="27">
        <v>1096</v>
      </c>
      <c r="B33" s="29">
        <v>12429</v>
      </c>
      <c r="C33" s="29">
        <v>12396.2</v>
      </c>
      <c r="R33" s="80"/>
      <c r="S33" s="81"/>
      <c r="T33" s="82"/>
    </row>
    <row r="34" spans="1:20" x14ac:dyDescent="0.25">
      <c r="A34" s="27">
        <v>1097</v>
      </c>
      <c r="B34" s="29">
        <v>12410</v>
      </c>
      <c r="C34" s="29">
        <v>12351</v>
      </c>
    </row>
    <row r="35" spans="1:20" x14ac:dyDescent="0.25">
      <c r="A35" s="27">
        <v>1098</v>
      </c>
      <c r="B35" s="29">
        <v>12391</v>
      </c>
      <c r="C35" s="29">
        <v>12305.8</v>
      </c>
    </row>
    <row r="36" spans="1:20" x14ac:dyDescent="0.25">
      <c r="A36" s="27">
        <v>1099</v>
      </c>
      <c r="B36" s="29">
        <v>12372</v>
      </c>
      <c r="C36" s="29">
        <v>12260.6</v>
      </c>
    </row>
    <row r="37" spans="1:20" x14ac:dyDescent="0.25">
      <c r="A37" s="28">
        <v>1100</v>
      </c>
      <c r="B37" s="28">
        <v>12352.9</v>
      </c>
      <c r="C37" s="28">
        <v>12216</v>
      </c>
    </row>
    <row r="38" spans="1:20" x14ac:dyDescent="0.25">
      <c r="A38" s="27">
        <v>1101</v>
      </c>
      <c r="B38" s="29">
        <v>12330.2</v>
      </c>
      <c r="C38" s="29">
        <v>12177.3</v>
      </c>
    </row>
    <row r="39" spans="1:20" x14ac:dyDescent="0.25">
      <c r="A39" s="27">
        <v>1102</v>
      </c>
      <c r="B39" s="29">
        <v>12307.5</v>
      </c>
      <c r="C39" s="29">
        <v>12138.6</v>
      </c>
    </row>
    <row r="40" spans="1:20" x14ac:dyDescent="0.25">
      <c r="A40" s="27">
        <v>1103</v>
      </c>
      <c r="B40" s="29">
        <v>12284.8</v>
      </c>
      <c r="C40" s="29">
        <v>12099.9</v>
      </c>
    </row>
    <row r="41" spans="1:20" x14ac:dyDescent="0.25">
      <c r="A41" s="27">
        <v>1104</v>
      </c>
      <c r="B41" s="29">
        <v>12262.1</v>
      </c>
      <c r="C41" s="29">
        <v>12061.2</v>
      </c>
    </row>
    <row r="42" spans="1:20" x14ac:dyDescent="0.25">
      <c r="A42" s="27">
        <v>1105</v>
      </c>
      <c r="B42" s="29">
        <v>12239.4</v>
      </c>
      <c r="C42" s="29">
        <v>12022.5</v>
      </c>
    </row>
    <row r="43" spans="1:20" x14ac:dyDescent="0.25">
      <c r="A43" s="27">
        <v>1106</v>
      </c>
      <c r="B43" s="29">
        <v>12216.7</v>
      </c>
      <c r="C43" s="29">
        <v>11983.8</v>
      </c>
    </row>
    <row r="44" spans="1:20" x14ac:dyDescent="0.25">
      <c r="A44" s="27">
        <v>1107</v>
      </c>
      <c r="B44" s="29">
        <v>12194</v>
      </c>
      <c r="C44" s="29">
        <v>11945.1</v>
      </c>
    </row>
    <row r="45" spans="1:20" x14ac:dyDescent="0.25">
      <c r="A45" s="27">
        <v>1108</v>
      </c>
      <c r="B45" s="29">
        <v>12171.3</v>
      </c>
      <c r="C45" s="29">
        <v>11906.4</v>
      </c>
    </row>
    <row r="46" spans="1:20" x14ac:dyDescent="0.25">
      <c r="A46" s="27">
        <v>1109</v>
      </c>
      <c r="B46" s="29">
        <v>12148.6</v>
      </c>
      <c r="C46" s="29">
        <v>11867.7</v>
      </c>
    </row>
    <row r="47" spans="1:20" x14ac:dyDescent="0.25">
      <c r="A47" s="27">
        <v>1110</v>
      </c>
      <c r="B47" s="29">
        <v>12125.9</v>
      </c>
      <c r="C47" s="29">
        <v>11829</v>
      </c>
    </row>
    <row r="48" spans="1:20" x14ac:dyDescent="0.25">
      <c r="A48" s="27">
        <v>1111</v>
      </c>
      <c r="B48" s="29">
        <v>12103.2</v>
      </c>
      <c r="C48" s="29">
        <v>11790.3</v>
      </c>
    </row>
    <row r="49" spans="1:112" x14ac:dyDescent="0.25">
      <c r="A49" s="27">
        <v>1112</v>
      </c>
      <c r="B49" s="29">
        <v>12080.5</v>
      </c>
      <c r="C49" s="29">
        <v>11751.6</v>
      </c>
    </row>
    <row r="50" spans="1:112" x14ac:dyDescent="0.25">
      <c r="A50" s="27">
        <v>1113</v>
      </c>
      <c r="B50" s="29">
        <v>12057.8</v>
      </c>
      <c r="C50" s="29">
        <v>11712.9</v>
      </c>
    </row>
    <row r="51" spans="1:112" x14ac:dyDescent="0.25">
      <c r="A51" s="27">
        <v>1114</v>
      </c>
      <c r="B51" s="29">
        <v>12035.1</v>
      </c>
      <c r="C51" s="29">
        <v>11674.2</v>
      </c>
    </row>
    <row r="52" spans="1:112" x14ac:dyDescent="0.25">
      <c r="A52" s="27">
        <v>1115</v>
      </c>
      <c r="B52" s="29">
        <v>12012.4</v>
      </c>
      <c r="C52" s="29">
        <v>11635.5</v>
      </c>
    </row>
    <row r="53" spans="1:112" x14ac:dyDescent="0.25">
      <c r="A53" s="27">
        <v>1116</v>
      </c>
      <c r="B53" s="29">
        <v>11989.7</v>
      </c>
      <c r="C53" s="29">
        <v>11596.8</v>
      </c>
      <c r="E53" s="266" t="s">
        <v>244</v>
      </c>
    </row>
    <row r="54" spans="1:112" x14ac:dyDescent="0.25">
      <c r="A54" s="27">
        <v>1117</v>
      </c>
      <c r="B54" s="29">
        <v>11967</v>
      </c>
      <c r="C54" s="29">
        <v>11558.1</v>
      </c>
    </row>
    <row r="55" spans="1:112" x14ac:dyDescent="0.25">
      <c r="A55" s="27">
        <v>1118</v>
      </c>
      <c r="B55" s="29">
        <v>11944.3</v>
      </c>
      <c r="C55" s="29">
        <v>11519.4</v>
      </c>
    </row>
    <row r="56" spans="1:112" ht="15.75" thickBot="1" x14ac:dyDescent="0.3">
      <c r="A56" s="27">
        <v>1119</v>
      </c>
      <c r="B56" s="29">
        <v>11921.6</v>
      </c>
      <c r="C56" s="29">
        <v>11480.7</v>
      </c>
    </row>
    <row r="57" spans="1:112" x14ac:dyDescent="0.25">
      <c r="A57" s="27">
        <v>1120</v>
      </c>
      <c r="B57" s="29">
        <v>11898.9</v>
      </c>
      <c r="C57" s="29">
        <v>11442</v>
      </c>
      <c r="E57" s="533" t="s">
        <v>245</v>
      </c>
      <c r="F57" s="534"/>
      <c r="G57" s="534"/>
      <c r="H57" s="534"/>
      <c r="I57" s="534"/>
      <c r="J57" s="534"/>
      <c r="K57" s="534"/>
      <c r="L57" s="534"/>
      <c r="M57" s="534"/>
      <c r="N57" s="534"/>
      <c r="O57" s="534"/>
      <c r="P57" s="535"/>
      <c r="W57" s="533" t="s">
        <v>246</v>
      </c>
      <c r="X57" s="534"/>
      <c r="Y57" s="534"/>
      <c r="Z57" s="534"/>
      <c r="AA57" s="534"/>
      <c r="AB57" s="534"/>
      <c r="AC57" s="534"/>
      <c r="AD57" s="534"/>
      <c r="AE57" s="534"/>
      <c r="AF57" s="534"/>
      <c r="AG57" s="534"/>
      <c r="AH57" s="535"/>
      <c r="AO57" s="533" t="s">
        <v>247</v>
      </c>
      <c r="AP57" s="534"/>
      <c r="AQ57" s="534"/>
      <c r="AR57" s="534"/>
      <c r="AS57" s="534"/>
      <c r="AT57" s="534"/>
      <c r="AU57" s="534"/>
      <c r="AV57" s="534"/>
      <c r="AW57" s="534"/>
      <c r="AX57" s="534"/>
      <c r="AY57" s="534"/>
      <c r="AZ57" s="535"/>
      <c r="BH57" s="533" t="s">
        <v>248</v>
      </c>
      <c r="BI57" s="534"/>
      <c r="BJ57" s="534"/>
      <c r="BK57" s="534"/>
      <c r="BL57" s="534"/>
      <c r="BM57" s="534"/>
      <c r="BN57" s="534"/>
      <c r="BO57" s="534"/>
      <c r="BP57" s="534"/>
      <c r="BQ57" s="534"/>
      <c r="BR57" s="534"/>
      <c r="BS57" s="535"/>
      <c r="BZ57" s="533" t="s">
        <v>249</v>
      </c>
      <c r="CA57" s="534"/>
      <c r="CB57" s="534"/>
      <c r="CC57" s="534"/>
      <c r="CD57" s="534"/>
      <c r="CE57" s="534"/>
      <c r="CF57" s="534"/>
      <c r="CG57" s="534"/>
      <c r="CH57" s="534"/>
      <c r="CI57" s="534"/>
      <c r="CJ57" s="534"/>
      <c r="CK57" s="535"/>
      <c r="CR57" s="533" t="s">
        <v>250</v>
      </c>
      <c r="CS57" s="534"/>
      <c r="CT57" s="534"/>
      <c r="CU57" s="534"/>
      <c r="CV57" s="534"/>
      <c r="CW57" s="534"/>
      <c r="CX57" s="534"/>
      <c r="CY57" s="534"/>
      <c r="CZ57" s="534"/>
      <c r="DA57" s="534"/>
      <c r="DB57" s="534"/>
      <c r="DC57" s="535"/>
    </row>
    <row r="58" spans="1:112" ht="15.75" thickBot="1" x14ac:dyDescent="0.3">
      <c r="A58" s="27">
        <v>1121</v>
      </c>
      <c r="B58" s="29">
        <v>11876.2</v>
      </c>
      <c r="C58" s="29">
        <v>11403.3</v>
      </c>
      <c r="E58" s="633"/>
      <c r="F58" s="655"/>
      <c r="G58" s="655"/>
      <c r="H58" s="655"/>
      <c r="I58" s="655"/>
      <c r="J58" s="655"/>
      <c r="K58" s="655"/>
      <c r="L58" s="655"/>
      <c r="M58" s="655"/>
      <c r="N58" s="655"/>
      <c r="O58" s="655"/>
      <c r="P58" s="656"/>
      <c r="Q58" s="48" t="s">
        <v>205</v>
      </c>
      <c r="R58" s="48"/>
      <c r="W58" s="633"/>
      <c r="X58" s="655"/>
      <c r="Y58" s="655"/>
      <c r="Z58" s="655"/>
      <c r="AA58" s="655"/>
      <c r="AB58" s="655"/>
      <c r="AC58" s="655"/>
      <c r="AD58" s="655"/>
      <c r="AE58" s="655"/>
      <c r="AF58" s="655"/>
      <c r="AG58" s="655"/>
      <c r="AH58" s="656"/>
      <c r="AI58" s="48" t="s">
        <v>205</v>
      </c>
      <c r="AJ58" s="48"/>
      <c r="AO58" s="633"/>
      <c r="AP58" s="655"/>
      <c r="AQ58" s="655"/>
      <c r="AR58" s="655"/>
      <c r="AS58" s="655"/>
      <c r="AT58" s="655"/>
      <c r="AU58" s="655"/>
      <c r="AV58" s="655"/>
      <c r="AW58" s="655"/>
      <c r="AX58" s="655"/>
      <c r="AY58" s="655"/>
      <c r="AZ58" s="656"/>
      <c r="BA58" s="48" t="s">
        <v>205</v>
      </c>
      <c r="BB58" s="48"/>
      <c r="BH58" s="633"/>
      <c r="BI58" s="655"/>
      <c r="BJ58" s="655"/>
      <c r="BK58" s="655"/>
      <c r="BL58" s="655"/>
      <c r="BM58" s="655"/>
      <c r="BN58" s="655"/>
      <c r="BO58" s="655"/>
      <c r="BP58" s="655"/>
      <c r="BQ58" s="655"/>
      <c r="BR58" s="655"/>
      <c r="BS58" s="656"/>
      <c r="BT58" s="48" t="s">
        <v>205</v>
      </c>
      <c r="BU58" s="48"/>
      <c r="BZ58" s="633"/>
      <c r="CA58" s="655"/>
      <c r="CB58" s="655"/>
      <c r="CC58" s="655"/>
      <c r="CD58" s="655"/>
      <c r="CE58" s="655"/>
      <c r="CF58" s="655"/>
      <c r="CG58" s="655"/>
      <c r="CH58" s="655"/>
      <c r="CI58" s="655"/>
      <c r="CJ58" s="655"/>
      <c r="CK58" s="656"/>
      <c r="CL58" s="48" t="s">
        <v>205</v>
      </c>
      <c r="CM58" s="48"/>
      <c r="CR58" s="633"/>
      <c r="CS58" s="655"/>
      <c r="CT58" s="655"/>
      <c r="CU58" s="655"/>
      <c r="CV58" s="655"/>
      <c r="CW58" s="655"/>
      <c r="CX58" s="655"/>
      <c r="CY58" s="655"/>
      <c r="CZ58" s="655"/>
      <c r="DA58" s="655"/>
      <c r="DB58" s="655"/>
      <c r="DC58" s="656"/>
      <c r="DD58" s="48" t="s">
        <v>205</v>
      </c>
      <c r="DE58" s="48"/>
    </row>
    <row r="59" spans="1:112" x14ac:dyDescent="0.25">
      <c r="A59" s="27">
        <v>1122</v>
      </c>
      <c r="B59" s="29">
        <v>11853.5</v>
      </c>
      <c r="C59" s="29">
        <v>11364.6</v>
      </c>
      <c r="E59" s="36"/>
      <c r="K59" s="7"/>
      <c r="M59" t="s">
        <v>207</v>
      </c>
      <c r="N59" s="134">
        <f>H3</f>
        <v>-5</v>
      </c>
      <c r="O59" t="s">
        <v>16</v>
      </c>
      <c r="P59" s="2"/>
      <c r="Q59" s="26" t="s">
        <v>208</v>
      </c>
      <c r="R59" s="51">
        <v>52</v>
      </c>
      <c r="S59" t="s">
        <v>209</v>
      </c>
      <c r="W59" s="36"/>
      <c r="AC59" s="7"/>
      <c r="AE59" t="s">
        <v>207</v>
      </c>
      <c r="AF59" s="134">
        <f>H3</f>
        <v>-5</v>
      </c>
      <c r="AG59" t="s">
        <v>16</v>
      </c>
      <c r="AH59" s="2"/>
      <c r="AI59" s="26" t="s">
        <v>208</v>
      </c>
      <c r="AJ59" s="51">
        <v>52</v>
      </c>
      <c r="AK59" t="s">
        <v>209</v>
      </c>
      <c r="AO59" s="36"/>
      <c r="AU59" s="7"/>
      <c r="AW59" t="s">
        <v>207</v>
      </c>
      <c r="AX59" s="134">
        <f>H3</f>
        <v>-5</v>
      </c>
      <c r="AY59" t="s">
        <v>16</v>
      </c>
      <c r="AZ59" s="2"/>
      <c r="BA59" s="26" t="s">
        <v>208</v>
      </c>
      <c r="BB59" s="51">
        <v>52</v>
      </c>
      <c r="BC59" t="s">
        <v>209</v>
      </c>
      <c r="BH59" s="36"/>
      <c r="BN59" s="7"/>
      <c r="BP59" t="s">
        <v>207</v>
      </c>
      <c r="BQ59" s="134">
        <f>H3</f>
        <v>-5</v>
      </c>
      <c r="BR59" t="s">
        <v>16</v>
      </c>
      <c r="BS59" s="2"/>
      <c r="BT59" s="26" t="s">
        <v>208</v>
      </c>
      <c r="BU59" s="51">
        <v>52</v>
      </c>
      <c r="BV59" t="s">
        <v>209</v>
      </c>
      <c r="BZ59" s="36"/>
      <c r="CF59" s="7"/>
      <c r="CH59" t="s">
        <v>207</v>
      </c>
      <c r="CI59" s="134">
        <f>H3</f>
        <v>-5</v>
      </c>
      <c r="CJ59" t="s">
        <v>16</v>
      </c>
      <c r="CK59" s="2"/>
      <c r="CL59" s="26" t="s">
        <v>208</v>
      </c>
      <c r="CM59" s="51">
        <v>52</v>
      </c>
      <c r="CN59" t="s">
        <v>209</v>
      </c>
      <c r="CR59" s="36"/>
      <c r="CX59" s="7"/>
      <c r="CZ59" t="s">
        <v>207</v>
      </c>
      <c r="DA59" s="134">
        <f>H3</f>
        <v>-5</v>
      </c>
      <c r="DB59" t="s">
        <v>16</v>
      </c>
      <c r="DC59" s="2"/>
      <c r="DD59" s="26" t="s">
        <v>208</v>
      </c>
      <c r="DE59" s="51">
        <v>52</v>
      </c>
      <c r="DF59" t="s">
        <v>209</v>
      </c>
    </row>
    <row r="60" spans="1:112" ht="15.75" thickBot="1" x14ac:dyDescent="0.3">
      <c r="A60" s="27">
        <v>1123</v>
      </c>
      <c r="B60" s="29">
        <v>11830.8</v>
      </c>
      <c r="C60" s="29">
        <v>11325.9</v>
      </c>
      <c r="E60" s="36"/>
      <c r="K60" s="7"/>
      <c r="M60" t="s">
        <v>211</v>
      </c>
      <c r="N60" s="26">
        <f>'R22 beta II'!R8</f>
        <v>0</v>
      </c>
      <c r="O60" t="s">
        <v>16</v>
      </c>
      <c r="P60" s="2"/>
      <c r="Q60" t="s">
        <v>212</v>
      </c>
      <c r="R60" t="s">
        <v>213</v>
      </c>
      <c r="U60" t="s">
        <v>214</v>
      </c>
      <c r="W60" s="36"/>
      <c r="AC60" s="7"/>
      <c r="AE60" t="s">
        <v>211</v>
      </c>
      <c r="AF60" s="26">
        <f>'R22 beta II'!R8</f>
        <v>0</v>
      </c>
      <c r="AG60" t="s">
        <v>16</v>
      </c>
      <c r="AH60" s="2"/>
      <c r="AI60" t="s">
        <v>212</v>
      </c>
      <c r="AJ60" t="s">
        <v>213</v>
      </c>
      <c r="AM60" t="s">
        <v>214</v>
      </c>
      <c r="AO60" s="36"/>
      <c r="AU60" s="7"/>
      <c r="AW60" t="s">
        <v>211</v>
      </c>
      <c r="AX60" s="26">
        <f>'R22 beta II'!R8</f>
        <v>0</v>
      </c>
      <c r="AY60" t="s">
        <v>16</v>
      </c>
      <c r="AZ60" s="2"/>
      <c r="BA60" t="s">
        <v>212</v>
      </c>
      <c r="BB60" t="s">
        <v>213</v>
      </c>
      <c r="BE60" t="s">
        <v>214</v>
      </c>
      <c r="BH60" s="36"/>
      <c r="BN60" s="7"/>
      <c r="BP60" t="s">
        <v>211</v>
      </c>
      <c r="BQ60" s="26">
        <f>'R22 beta II'!R8</f>
        <v>0</v>
      </c>
      <c r="BR60" t="s">
        <v>16</v>
      </c>
      <c r="BS60" s="2"/>
      <c r="BT60" t="s">
        <v>212</v>
      </c>
      <c r="BU60" t="s">
        <v>213</v>
      </c>
      <c r="BX60" t="s">
        <v>214</v>
      </c>
      <c r="BZ60" s="36"/>
      <c r="CF60" s="7"/>
      <c r="CH60" t="s">
        <v>211</v>
      </c>
      <c r="CI60" s="26">
        <f>'R22 beta II'!R8</f>
        <v>0</v>
      </c>
      <c r="CJ60" t="s">
        <v>16</v>
      </c>
      <c r="CK60" s="2"/>
      <c r="CL60" t="s">
        <v>212</v>
      </c>
      <c r="CM60" t="s">
        <v>213</v>
      </c>
      <c r="CP60" t="s">
        <v>214</v>
      </c>
      <c r="CR60" s="36"/>
      <c r="CX60" s="7"/>
      <c r="CZ60" t="s">
        <v>211</v>
      </c>
      <c r="DA60" s="26">
        <f>'R22 beta II'!R8</f>
        <v>0</v>
      </c>
      <c r="DB60" t="s">
        <v>16</v>
      </c>
      <c r="DC60" s="2"/>
      <c r="DD60" t="s">
        <v>212</v>
      </c>
      <c r="DE60" t="s">
        <v>213</v>
      </c>
      <c r="DH60" t="s">
        <v>214</v>
      </c>
    </row>
    <row r="61" spans="1:112" x14ac:dyDescent="0.25">
      <c r="A61" s="27">
        <v>1124</v>
      </c>
      <c r="B61" s="29">
        <v>11808.1</v>
      </c>
      <c r="C61" s="29">
        <v>11287.2</v>
      </c>
      <c r="E61" s="31"/>
      <c r="F61" s="634" t="s">
        <v>215</v>
      </c>
      <c r="G61" s="634"/>
      <c r="H61" s="53"/>
      <c r="I61" s="57" t="s">
        <v>216</v>
      </c>
      <c r="J61" s="53"/>
      <c r="K61" s="32"/>
      <c r="L61" s="32"/>
      <c r="M61" s="634" t="s">
        <v>217</v>
      </c>
      <c r="N61" s="634"/>
      <c r="O61" s="32"/>
      <c r="P61" s="33"/>
      <c r="Q61" t="s">
        <v>218</v>
      </c>
      <c r="R61" t="s">
        <v>219</v>
      </c>
      <c r="U61" t="s">
        <v>220</v>
      </c>
      <c r="W61" s="31"/>
      <c r="X61" s="634" t="s">
        <v>215</v>
      </c>
      <c r="Y61" s="634"/>
      <c r="Z61" s="53"/>
      <c r="AA61" s="57" t="s">
        <v>216</v>
      </c>
      <c r="AB61" s="53"/>
      <c r="AC61" s="32"/>
      <c r="AD61" s="32"/>
      <c r="AE61" s="634" t="s">
        <v>217</v>
      </c>
      <c r="AF61" s="634"/>
      <c r="AG61" s="32"/>
      <c r="AH61" s="33"/>
      <c r="AI61" t="s">
        <v>218</v>
      </c>
      <c r="AJ61" t="s">
        <v>219</v>
      </c>
      <c r="AM61" t="s">
        <v>220</v>
      </c>
      <c r="AO61" s="31"/>
      <c r="AP61" s="634" t="s">
        <v>215</v>
      </c>
      <c r="AQ61" s="634"/>
      <c r="AR61" s="53"/>
      <c r="AS61" s="57" t="s">
        <v>216</v>
      </c>
      <c r="AT61" s="53"/>
      <c r="AU61" s="32"/>
      <c r="AV61" s="32"/>
      <c r="AW61" s="634" t="s">
        <v>217</v>
      </c>
      <c r="AX61" s="634"/>
      <c r="AY61" s="32"/>
      <c r="AZ61" s="33"/>
      <c r="BA61" t="s">
        <v>218</v>
      </c>
      <c r="BB61" t="s">
        <v>219</v>
      </c>
      <c r="BE61" t="s">
        <v>220</v>
      </c>
      <c r="BH61" s="31"/>
      <c r="BI61" s="634" t="s">
        <v>215</v>
      </c>
      <c r="BJ61" s="634"/>
      <c r="BK61" s="53"/>
      <c r="BL61" s="57" t="s">
        <v>216</v>
      </c>
      <c r="BM61" s="53"/>
      <c r="BN61" s="32"/>
      <c r="BO61" s="32"/>
      <c r="BP61" s="634" t="s">
        <v>217</v>
      </c>
      <c r="BQ61" s="634"/>
      <c r="BR61" s="32"/>
      <c r="BS61" s="33"/>
      <c r="BT61" t="s">
        <v>218</v>
      </c>
      <c r="BU61" t="s">
        <v>219</v>
      </c>
      <c r="BX61" t="s">
        <v>220</v>
      </c>
      <c r="BZ61" s="31"/>
      <c r="CA61" s="634" t="s">
        <v>215</v>
      </c>
      <c r="CB61" s="634"/>
      <c r="CC61" s="53"/>
      <c r="CD61" s="57" t="s">
        <v>216</v>
      </c>
      <c r="CE61" s="53"/>
      <c r="CF61" s="32"/>
      <c r="CG61" s="32"/>
      <c r="CH61" s="634" t="s">
        <v>217</v>
      </c>
      <c r="CI61" s="634"/>
      <c r="CJ61" s="32"/>
      <c r="CK61" s="33"/>
      <c r="CL61" t="s">
        <v>218</v>
      </c>
      <c r="CM61" t="s">
        <v>219</v>
      </c>
      <c r="CP61" t="s">
        <v>220</v>
      </c>
      <c r="CR61" s="31"/>
      <c r="CS61" s="634" t="s">
        <v>215</v>
      </c>
      <c r="CT61" s="634"/>
      <c r="CU61" s="53"/>
      <c r="CV61" s="57" t="s">
        <v>216</v>
      </c>
      <c r="CW61" s="53"/>
      <c r="CX61" s="32"/>
      <c r="CY61" s="32"/>
      <c r="CZ61" s="634" t="s">
        <v>217</v>
      </c>
      <c r="DA61" s="634"/>
      <c r="DB61" s="32"/>
      <c r="DC61" s="33"/>
      <c r="DD61" t="s">
        <v>218</v>
      </c>
      <c r="DE61" t="s">
        <v>219</v>
      </c>
      <c r="DH61" t="s">
        <v>220</v>
      </c>
    </row>
    <row r="62" spans="1:112" x14ac:dyDescent="0.25">
      <c r="A62" s="27">
        <v>1125</v>
      </c>
      <c r="B62" s="29">
        <v>11785.4</v>
      </c>
      <c r="C62" s="29">
        <v>11248.5</v>
      </c>
      <c r="E62" s="34"/>
      <c r="F62" s="657" t="b">
        <f>IF(N60&gt;K60,IF(ROUND(N60,0)&gt;0,TRUE,FALSE),IF(ROUND(K60,0)&gt;0,TRUE,FALSE))</f>
        <v>0</v>
      </c>
      <c r="G62" s="657"/>
      <c r="H62" s="54"/>
      <c r="I62" s="658" t="b">
        <f>IF(N60&gt;K60,IF(ROUND(N60,0)=0,TRUE,FALSE),IF(ROUND(K60,0)=0,TRUE,FALSE))</f>
        <v>1</v>
      </c>
      <c r="J62" s="659"/>
      <c r="K62" s="8"/>
      <c r="L62" s="8"/>
      <c r="M62" s="657" t="b">
        <f>IF(N60&gt;K60,IF(ROUND(N60,0)&lt;0,TRUE,FALSE),IF(ROUND(K60,0)&lt;0,TRUE,FALSE))</f>
        <v>0</v>
      </c>
      <c r="N62" s="657"/>
      <c r="O62" s="8"/>
      <c r="P62" s="35"/>
      <c r="W62" s="34"/>
      <c r="X62" s="657" t="b">
        <f>IF(AF60&gt;AC60,IF(ROUND(AF60,0)&gt;0,TRUE,FALSE),IF(ROUND(AC60,0)&gt;0,TRUE,FALSE))</f>
        <v>0</v>
      </c>
      <c r="Y62" s="657"/>
      <c r="Z62" s="54"/>
      <c r="AA62" s="658" t="b">
        <f>IF(AF60&gt;AC60,IF(ROUND(AF60,0)=0,TRUE,FALSE),IF(ROUND(AC60,0)=0,TRUE,FALSE))</f>
        <v>1</v>
      </c>
      <c r="AB62" s="659"/>
      <c r="AC62" s="8"/>
      <c r="AD62" s="8"/>
      <c r="AE62" s="657" t="b">
        <f>IF(AF60&gt;AC60,IF(ROUND(AF60,0)&lt;0,TRUE,FALSE),IF(ROUND(AC60,0)&lt;0,TRUE,FALSE))</f>
        <v>0</v>
      </c>
      <c r="AF62" s="657"/>
      <c r="AG62" s="8"/>
      <c r="AH62" s="35"/>
      <c r="AO62" s="34"/>
      <c r="AP62" s="657" t="b">
        <f>IF(AX60&gt;AU60,IF(ROUND(AX60,0)&gt;0,TRUE,FALSE),IF(ROUND(AU60,0)&gt;0,TRUE,FALSE))</f>
        <v>0</v>
      </c>
      <c r="AQ62" s="657"/>
      <c r="AR62" s="54"/>
      <c r="AS62" s="658" t="b">
        <f>IF(AX60&gt;AU60,IF(ROUND(AX60,0)=0,TRUE,FALSE),IF(ROUND(AU60,0)=0,TRUE,FALSE))</f>
        <v>1</v>
      </c>
      <c r="AT62" s="659"/>
      <c r="AU62" s="8"/>
      <c r="AV62" s="8"/>
      <c r="AW62" s="657" t="b">
        <f>IF(AX60&gt;AU60,IF(ROUND(AX60,0)&lt;0,TRUE,FALSE),IF(ROUND(AU60,0)&lt;0,TRUE,FALSE))</f>
        <v>0</v>
      </c>
      <c r="AX62" s="657"/>
      <c r="AY62" s="8"/>
      <c r="AZ62" s="35"/>
      <c r="BH62" s="34"/>
      <c r="BI62" s="657" t="b">
        <f>IF(BQ60&gt;BN60,IF(ROUND(BQ60,0)&gt;0,TRUE,FALSE),IF(ROUND(BN60,0)&gt;0,TRUE,FALSE))</f>
        <v>0</v>
      </c>
      <c r="BJ62" s="657"/>
      <c r="BK62" s="54"/>
      <c r="BL62" s="658" t="b">
        <f>IF(BQ60&gt;BN60,IF(ROUND(BQ60,0)=0,TRUE,FALSE),IF(ROUND(BN60,0)=0,TRUE,FALSE))</f>
        <v>1</v>
      </c>
      <c r="BM62" s="659"/>
      <c r="BN62" s="8"/>
      <c r="BO62" s="8"/>
      <c r="BP62" s="657" t="b">
        <f>IF(BQ60&gt;BN60,IF(ROUND(BQ60,0)&lt;0,TRUE,FALSE),IF(ROUND(BN60,0)&lt;0,TRUE,FALSE))</f>
        <v>0</v>
      </c>
      <c r="BQ62" s="657"/>
      <c r="BR62" s="8"/>
      <c r="BS62" s="35"/>
      <c r="BZ62" s="34"/>
      <c r="CA62" s="657" t="b">
        <f>IF(CI60&gt;CF60,IF(ROUND(CI60,0)&gt;0,TRUE,FALSE),IF(ROUND(CF60,0)&gt;0,TRUE,FALSE))</f>
        <v>0</v>
      </c>
      <c r="CB62" s="657"/>
      <c r="CC62" s="54"/>
      <c r="CD62" s="658" t="b">
        <f>IF(CI60&gt;CF60,IF(ROUND(CI60,0)=0,TRUE,FALSE),IF(ROUND(CF60,0)=0,TRUE,FALSE))</f>
        <v>1</v>
      </c>
      <c r="CE62" s="659"/>
      <c r="CF62" s="8"/>
      <c r="CG62" s="8"/>
      <c r="CH62" s="657" t="b">
        <f>IF(CI60&gt;CF60,IF(ROUND(CI60,0)&lt;0,TRUE,FALSE),IF(ROUND(CF60,0)&lt;0,TRUE,FALSE))</f>
        <v>0</v>
      </c>
      <c r="CI62" s="657"/>
      <c r="CJ62" s="8"/>
      <c r="CK62" s="35"/>
      <c r="CR62" s="34"/>
      <c r="CS62" s="657" t="b">
        <f>IF(DA60&gt;CX60,IF(ROUND(DA60,0)&gt;0,TRUE,FALSE),IF(ROUND(CX60,0)&gt;0,TRUE,FALSE))</f>
        <v>0</v>
      </c>
      <c r="CT62" s="657"/>
      <c r="CU62" s="54"/>
      <c r="CV62" s="658" t="b">
        <f>IF(DA60&gt;CX60,IF(ROUND(DA60,0)=0,TRUE,FALSE),IF(ROUND(CX60,0)=0,TRUE,FALSE))</f>
        <v>1</v>
      </c>
      <c r="CW62" s="659"/>
      <c r="CX62" s="8"/>
      <c r="CY62" s="8"/>
      <c r="CZ62" s="657" t="b">
        <f>IF(DA60&gt;CX60,IF(ROUND(DA60,0)&lt;0,TRUE,FALSE),IF(ROUND(CX60,0)&lt;0,TRUE,FALSE))</f>
        <v>0</v>
      </c>
      <c r="DA62" s="657"/>
      <c r="DB62" s="8"/>
      <c r="DC62" s="35"/>
    </row>
    <row r="63" spans="1:112" x14ac:dyDescent="0.25">
      <c r="A63" s="27">
        <v>1126</v>
      </c>
      <c r="B63" s="29">
        <v>11762.7</v>
      </c>
      <c r="C63" s="29">
        <v>11209.8</v>
      </c>
      <c r="E63" s="36"/>
      <c r="H63" s="55"/>
      <c r="I63" s="58"/>
      <c r="J63" s="55"/>
      <c r="P63" s="2"/>
      <c r="Q63" s="48" t="s">
        <v>221</v>
      </c>
      <c r="R63" s="48"/>
      <c r="W63" s="36"/>
      <c r="Z63" s="55"/>
      <c r="AA63" s="58"/>
      <c r="AB63" s="55"/>
      <c r="AH63" s="2"/>
      <c r="AI63" s="48" t="s">
        <v>221</v>
      </c>
      <c r="AJ63" s="48"/>
      <c r="AO63" s="36"/>
      <c r="AR63" s="55"/>
      <c r="AS63" s="58"/>
      <c r="AT63" s="55"/>
      <c r="AZ63" s="2"/>
      <c r="BA63" s="48" t="s">
        <v>221</v>
      </c>
      <c r="BB63" s="48"/>
      <c r="BH63" s="36"/>
      <c r="BK63" s="55"/>
      <c r="BL63" s="58"/>
      <c r="BM63" s="55"/>
      <c r="BS63" s="2"/>
      <c r="BT63" s="48" t="s">
        <v>221</v>
      </c>
      <c r="BU63" s="48"/>
      <c r="BZ63" s="36"/>
      <c r="CC63" s="55"/>
      <c r="CD63" s="58"/>
      <c r="CE63" s="55"/>
      <c r="CK63" s="2"/>
      <c r="CL63" s="48" t="s">
        <v>221</v>
      </c>
      <c r="CM63" s="48"/>
      <c r="CR63" s="36"/>
      <c r="CU63" s="55"/>
      <c r="CV63" s="58"/>
      <c r="CW63" s="55"/>
      <c r="DC63" s="2"/>
      <c r="DD63" s="48" t="s">
        <v>221</v>
      </c>
      <c r="DE63" s="48"/>
    </row>
    <row r="64" spans="1:112" x14ac:dyDescent="0.25">
      <c r="A64" s="27">
        <v>1127</v>
      </c>
      <c r="B64" s="29">
        <v>11740</v>
      </c>
      <c r="C64" s="29">
        <v>11171.1</v>
      </c>
      <c r="E64" s="639" t="s">
        <v>222</v>
      </c>
      <c r="F64" s="636"/>
      <c r="G64" s="636"/>
      <c r="H64" s="642"/>
      <c r="I64" s="58"/>
      <c r="J64" s="55"/>
      <c r="L64" s="636" t="s">
        <v>222</v>
      </c>
      <c r="M64" s="636"/>
      <c r="N64" s="636"/>
      <c r="O64" s="636"/>
      <c r="P64" s="2"/>
      <c r="Q64" s="26" t="s">
        <v>208</v>
      </c>
      <c r="R64" s="51">
        <v>88.8</v>
      </c>
      <c r="S64" t="s">
        <v>209</v>
      </c>
      <c r="W64" s="639" t="s">
        <v>222</v>
      </c>
      <c r="X64" s="636"/>
      <c r="Y64" s="636"/>
      <c r="Z64" s="642"/>
      <c r="AA64" s="58"/>
      <c r="AB64" s="55"/>
      <c r="AD64" s="636" t="s">
        <v>222</v>
      </c>
      <c r="AE64" s="636"/>
      <c r="AF64" s="636"/>
      <c r="AG64" s="636"/>
      <c r="AH64" s="2"/>
      <c r="AI64" s="26" t="s">
        <v>208</v>
      </c>
      <c r="AJ64" s="51">
        <v>88.8</v>
      </c>
      <c r="AK64" t="s">
        <v>209</v>
      </c>
      <c r="AO64" s="639" t="s">
        <v>222</v>
      </c>
      <c r="AP64" s="636"/>
      <c r="AQ64" s="636"/>
      <c r="AR64" s="642"/>
      <c r="AS64" s="58"/>
      <c r="AT64" s="55"/>
      <c r="AV64" s="636" t="s">
        <v>222</v>
      </c>
      <c r="AW64" s="636"/>
      <c r="AX64" s="636"/>
      <c r="AY64" s="636"/>
      <c r="AZ64" s="2"/>
      <c r="BA64" s="26" t="s">
        <v>208</v>
      </c>
      <c r="BB64" s="51">
        <v>88.8</v>
      </c>
      <c r="BC64" t="s">
        <v>209</v>
      </c>
      <c r="BH64" s="639" t="s">
        <v>222</v>
      </c>
      <c r="BI64" s="636"/>
      <c r="BJ64" s="636"/>
      <c r="BK64" s="642"/>
      <c r="BL64" s="58"/>
      <c r="BM64" s="55"/>
      <c r="BO64" s="636" t="s">
        <v>222</v>
      </c>
      <c r="BP64" s="636"/>
      <c r="BQ64" s="636"/>
      <c r="BR64" s="636"/>
      <c r="BS64" s="2"/>
      <c r="BT64" s="26" t="s">
        <v>208</v>
      </c>
      <c r="BU64" s="51">
        <v>88.8</v>
      </c>
      <c r="BV64" t="s">
        <v>209</v>
      </c>
      <c r="BZ64" s="639" t="s">
        <v>222</v>
      </c>
      <c r="CA64" s="636"/>
      <c r="CB64" s="636"/>
      <c r="CC64" s="642"/>
      <c r="CD64" s="58"/>
      <c r="CE64" s="55"/>
      <c r="CG64" s="636" t="s">
        <v>222</v>
      </c>
      <c r="CH64" s="636"/>
      <c r="CI64" s="636"/>
      <c r="CJ64" s="636"/>
      <c r="CK64" s="2"/>
      <c r="CL64" s="26" t="s">
        <v>208</v>
      </c>
      <c r="CM64" s="51">
        <v>88.8</v>
      </c>
      <c r="CN64" t="s">
        <v>209</v>
      </c>
      <c r="CR64" s="639" t="s">
        <v>222</v>
      </c>
      <c r="CS64" s="636"/>
      <c r="CT64" s="636"/>
      <c r="CU64" s="642"/>
      <c r="CV64" s="58"/>
      <c r="CW64" s="55"/>
      <c r="CY64" s="636" t="s">
        <v>222</v>
      </c>
      <c r="CZ64" s="636"/>
      <c r="DA64" s="636"/>
      <c r="DB64" s="636"/>
      <c r="DC64" s="2"/>
      <c r="DD64" s="26" t="s">
        <v>208</v>
      </c>
      <c r="DE64" s="51">
        <v>88.8</v>
      </c>
      <c r="DF64" t="s">
        <v>209</v>
      </c>
    </row>
    <row r="65" spans="1:112" x14ac:dyDescent="0.25">
      <c r="A65" s="27">
        <v>1128</v>
      </c>
      <c r="B65" s="29">
        <v>11717.3</v>
      </c>
      <c r="C65" s="29">
        <v>11132.4</v>
      </c>
      <c r="E65" s="36"/>
      <c r="F65" s="7">
        <f>1345-(N60*R69)</f>
        <v>1345</v>
      </c>
      <c r="G65" t="s">
        <v>94</v>
      </c>
      <c r="H65" s="55"/>
      <c r="I65" s="58"/>
      <c r="J65" s="55"/>
      <c r="M65" s="7">
        <f>1345-(N60*R69)</f>
        <v>1345</v>
      </c>
      <c r="N65" t="s">
        <v>94</v>
      </c>
      <c r="P65" s="2"/>
      <c r="Q65" t="s">
        <v>223</v>
      </c>
      <c r="R65" t="s">
        <v>224</v>
      </c>
      <c r="U65" t="s">
        <v>225</v>
      </c>
      <c r="W65" s="36"/>
      <c r="X65" s="7">
        <f>1345-(AF60*AJ69)</f>
        <v>1345</v>
      </c>
      <c r="Y65" t="s">
        <v>94</v>
      </c>
      <c r="Z65" s="55"/>
      <c r="AA65" s="58"/>
      <c r="AB65" s="55"/>
      <c r="AE65" s="7">
        <f>1345-(AF60*AJ69)</f>
        <v>1345</v>
      </c>
      <c r="AF65" t="s">
        <v>94</v>
      </c>
      <c r="AH65" s="2"/>
      <c r="AI65" t="s">
        <v>223</v>
      </c>
      <c r="AJ65" t="s">
        <v>224</v>
      </c>
      <c r="AM65" t="s">
        <v>225</v>
      </c>
      <c r="AO65" s="36"/>
      <c r="AP65" s="7">
        <f>1345-(AX60*BB69)</f>
        <v>1345</v>
      </c>
      <c r="AQ65" t="s">
        <v>94</v>
      </c>
      <c r="AR65" s="55"/>
      <c r="AS65" s="58"/>
      <c r="AT65" s="55"/>
      <c r="AW65" s="7">
        <f>1345-(AX60*BB69)</f>
        <v>1345</v>
      </c>
      <c r="AX65" t="s">
        <v>94</v>
      </c>
      <c r="AZ65" s="2"/>
      <c r="BA65" t="s">
        <v>223</v>
      </c>
      <c r="BB65" t="s">
        <v>224</v>
      </c>
      <c r="BE65" t="s">
        <v>225</v>
      </c>
      <c r="BH65" s="36"/>
      <c r="BI65" s="7">
        <f>1345-(BQ60*BU69)</f>
        <v>1345</v>
      </c>
      <c r="BJ65" t="s">
        <v>94</v>
      </c>
      <c r="BK65" s="55"/>
      <c r="BL65" s="58"/>
      <c r="BM65" s="55"/>
      <c r="BP65" s="7">
        <f>1345-(BQ60*BU69)</f>
        <v>1345</v>
      </c>
      <c r="BQ65" t="s">
        <v>94</v>
      </c>
      <c r="BS65" s="2"/>
      <c r="BT65" t="s">
        <v>223</v>
      </c>
      <c r="BU65" t="s">
        <v>224</v>
      </c>
      <c r="BX65" t="s">
        <v>225</v>
      </c>
      <c r="BZ65" s="36"/>
      <c r="CA65" s="7">
        <f>1345-(CI60*CM69)</f>
        <v>1345</v>
      </c>
      <c r="CB65" t="s">
        <v>94</v>
      </c>
      <c r="CC65" s="55"/>
      <c r="CD65" s="58"/>
      <c r="CE65" s="55"/>
      <c r="CH65" s="7">
        <f>1345-(CI60*CM69)</f>
        <v>1345</v>
      </c>
      <c r="CI65" t="s">
        <v>94</v>
      </c>
      <c r="CK65" s="2"/>
      <c r="CL65" t="s">
        <v>223</v>
      </c>
      <c r="CM65" t="s">
        <v>224</v>
      </c>
      <c r="CP65" t="s">
        <v>225</v>
      </c>
      <c r="CR65" s="36"/>
      <c r="CS65" s="7">
        <f>1345-(DA60*DE69)</f>
        <v>1345</v>
      </c>
      <c r="CT65" t="s">
        <v>94</v>
      </c>
      <c r="CU65" s="55"/>
      <c r="CV65" s="58"/>
      <c r="CW65" s="55"/>
      <c r="CZ65" s="7">
        <f>1345-(DA60*DE69)</f>
        <v>1345</v>
      </c>
      <c r="DA65" t="s">
        <v>94</v>
      </c>
      <c r="DC65" s="2"/>
      <c r="DD65" t="s">
        <v>223</v>
      </c>
      <c r="DE65" t="s">
        <v>224</v>
      </c>
      <c r="DH65" t="s">
        <v>225</v>
      </c>
    </row>
    <row r="66" spans="1:112" x14ac:dyDescent="0.25">
      <c r="A66" s="27">
        <v>1129</v>
      </c>
      <c r="B66" s="29">
        <v>11694.6</v>
      </c>
      <c r="C66" s="29">
        <v>11093.7</v>
      </c>
      <c r="E66" s="36"/>
      <c r="H66" s="55"/>
      <c r="I66" s="58"/>
      <c r="J66" s="55"/>
      <c r="P66" s="2"/>
      <c r="Q66" t="s">
        <v>226</v>
      </c>
      <c r="R66" t="s">
        <v>227</v>
      </c>
      <c r="U66" t="s">
        <v>228</v>
      </c>
      <c r="W66" s="36"/>
      <c r="Z66" s="55"/>
      <c r="AA66" s="58"/>
      <c r="AB66" s="55"/>
      <c r="AH66" s="2"/>
      <c r="AI66" t="s">
        <v>226</v>
      </c>
      <c r="AJ66" t="s">
        <v>227</v>
      </c>
      <c r="AM66" t="s">
        <v>228</v>
      </c>
      <c r="AO66" s="36"/>
      <c r="AR66" s="55"/>
      <c r="AS66" s="58"/>
      <c r="AT66" s="55"/>
      <c r="AZ66" s="2"/>
      <c r="BA66" t="s">
        <v>226</v>
      </c>
      <c r="BB66" t="s">
        <v>227</v>
      </c>
      <c r="BE66" t="s">
        <v>228</v>
      </c>
      <c r="BH66" s="36"/>
      <c r="BK66" s="55"/>
      <c r="BL66" s="58"/>
      <c r="BM66" s="55"/>
      <c r="BS66" s="2"/>
      <c r="BT66" t="s">
        <v>226</v>
      </c>
      <c r="BU66" t="s">
        <v>227</v>
      </c>
      <c r="BX66" t="s">
        <v>228</v>
      </c>
      <c r="BZ66" s="36"/>
      <c r="CC66" s="55"/>
      <c r="CD66" s="58"/>
      <c r="CE66" s="55"/>
      <c r="CK66" s="2"/>
      <c r="CL66" t="s">
        <v>226</v>
      </c>
      <c r="CM66" t="s">
        <v>227</v>
      </c>
      <c r="CP66" t="s">
        <v>228</v>
      </c>
      <c r="CR66" s="36"/>
      <c r="CU66" s="55"/>
      <c r="CV66" s="58"/>
      <c r="CW66" s="55"/>
      <c r="DC66" s="2"/>
      <c r="DD66" t="s">
        <v>226</v>
      </c>
      <c r="DE66" t="s">
        <v>227</v>
      </c>
      <c r="DH66" t="s">
        <v>228</v>
      </c>
    </row>
    <row r="67" spans="1:112" x14ac:dyDescent="0.25">
      <c r="A67" s="27">
        <v>1130</v>
      </c>
      <c r="B67" s="29">
        <v>11671.9</v>
      </c>
      <c r="C67" s="29">
        <v>11055</v>
      </c>
      <c r="E67" s="36"/>
      <c r="H67" s="55"/>
      <c r="I67" s="58"/>
      <c r="J67" s="55"/>
      <c r="P67" s="2"/>
      <c r="W67" s="36"/>
      <c r="Z67" s="55"/>
      <c r="AA67" s="58"/>
      <c r="AB67" s="55"/>
      <c r="AH67" s="2"/>
      <c r="AO67" s="36"/>
      <c r="AR67" s="55"/>
      <c r="AS67" s="58"/>
      <c r="AT67" s="55"/>
      <c r="AZ67" s="2"/>
      <c r="BH67" s="36"/>
      <c r="BK67" s="55"/>
      <c r="BL67" s="58"/>
      <c r="BM67" s="55"/>
      <c r="BS67" s="2"/>
      <c r="BZ67" s="36"/>
      <c r="CC67" s="55"/>
      <c r="CD67" s="58"/>
      <c r="CE67" s="55"/>
      <c r="CK67" s="2"/>
      <c r="CR67" s="36"/>
      <c r="CU67" s="55"/>
      <c r="CV67" s="58"/>
      <c r="CW67" s="55"/>
      <c r="DC67" s="2"/>
    </row>
    <row r="68" spans="1:112" x14ac:dyDescent="0.25">
      <c r="A68" s="27">
        <v>1131</v>
      </c>
      <c r="B68" s="29">
        <v>11649.2</v>
      </c>
      <c r="C68" s="29">
        <v>11016.3</v>
      </c>
      <c r="E68" s="649" t="s">
        <v>229</v>
      </c>
      <c r="F68" s="650"/>
      <c r="G68" s="651" t="s">
        <v>230</v>
      </c>
      <c r="H68" s="652"/>
      <c r="I68" s="653"/>
      <c r="J68" s="652"/>
      <c r="K68" s="653" t="s">
        <v>231</v>
      </c>
      <c r="L68" s="650"/>
      <c r="M68" s="651" t="s">
        <v>232</v>
      </c>
      <c r="N68" s="650"/>
      <c r="O68" s="651" t="s">
        <v>230</v>
      </c>
      <c r="P68" s="654"/>
      <c r="Q68" s="48" t="s">
        <v>233</v>
      </c>
      <c r="R68" s="48"/>
      <c r="S68" s="48"/>
      <c r="W68" s="649" t="s">
        <v>229</v>
      </c>
      <c r="X68" s="650"/>
      <c r="Y68" s="651" t="s">
        <v>230</v>
      </c>
      <c r="Z68" s="652"/>
      <c r="AA68" s="653"/>
      <c r="AB68" s="652"/>
      <c r="AC68" s="653" t="s">
        <v>231</v>
      </c>
      <c r="AD68" s="650"/>
      <c r="AE68" s="651" t="s">
        <v>232</v>
      </c>
      <c r="AF68" s="650"/>
      <c r="AG68" s="651" t="s">
        <v>230</v>
      </c>
      <c r="AH68" s="654"/>
      <c r="AI68" s="48" t="s">
        <v>233</v>
      </c>
      <c r="AJ68" s="48"/>
      <c r="AK68" s="48"/>
      <c r="AO68" s="649" t="s">
        <v>229</v>
      </c>
      <c r="AP68" s="650"/>
      <c r="AQ68" s="651" t="s">
        <v>230</v>
      </c>
      <c r="AR68" s="652"/>
      <c r="AS68" s="653"/>
      <c r="AT68" s="652"/>
      <c r="AU68" s="653" t="s">
        <v>231</v>
      </c>
      <c r="AV68" s="650"/>
      <c r="AW68" s="651" t="s">
        <v>232</v>
      </c>
      <c r="AX68" s="650"/>
      <c r="AY68" s="651" t="s">
        <v>230</v>
      </c>
      <c r="AZ68" s="654"/>
      <c r="BA68" s="48" t="s">
        <v>233</v>
      </c>
      <c r="BB68" s="48"/>
      <c r="BC68" s="48"/>
      <c r="BH68" s="649" t="s">
        <v>229</v>
      </c>
      <c r="BI68" s="650"/>
      <c r="BJ68" s="651" t="s">
        <v>230</v>
      </c>
      <c r="BK68" s="652"/>
      <c r="BL68" s="653"/>
      <c r="BM68" s="652"/>
      <c r="BN68" s="653" t="s">
        <v>231</v>
      </c>
      <c r="BO68" s="650"/>
      <c r="BP68" s="651" t="s">
        <v>232</v>
      </c>
      <c r="BQ68" s="650"/>
      <c r="BR68" s="651" t="s">
        <v>230</v>
      </c>
      <c r="BS68" s="654"/>
      <c r="BT68" s="48" t="s">
        <v>233</v>
      </c>
      <c r="BU68" s="48"/>
      <c r="BV68" s="48"/>
      <c r="BZ68" s="649" t="s">
        <v>229</v>
      </c>
      <c r="CA68" s="650"/>
      <c r="CB68" s="651" t="s">
        <v>230</v>
      </c>
      <c r="CC68" s="652"/>
      <c r="CD68" s="653"/>
      <c r="CE68" s="652"/>
      <c r="CF68" s="653" t="s">
        <v>231</v>
      </c>
      <c r="CG68" s="650"/>
      <c r="CH68" s="651" t="s">
        <v>232</v>
      </c>
      <c r="CI68" s="650"/>
      <c r="CJ68" s="651" t="s">
        <v>230</v>
      </c>
      <c r="CK68" s="654"/>
      <c r="CL68" s="48" t="s">
        <v>233</v>
      </c>
      <c r="CM68" s="48"/>
      <c r="CN68" s="48"/>
      <c r="CR68" s="649" t="s">
        <v>229</v>
      </c>
      <c r="CS68" s="650"/>
      <c r="CT68" s="651" t="s">
        <v>230</v>
      </c>
      <c r="CU68" s="652"/>
      <c r="CV68" s="653"/>
      <c r="CW68" s="652"/>
      <c r="CX68" s="653" t="s">
        <v>231</v>
      </c>
      <c r="CY68" s="650"/>
      <c r="CZ68" s="651" t="s">
        <v>232</v>
      </c>
      <c r="DA68" s="650"/>
      <c r="DB68" s="651" t="s">
        <v>230</v>
      </c>
      <c r="DC68" s="654"/>
      <c r="DD68" s="48" t="s">
        <v>233</v>
      </c>
      <c r="DE68" s="48"/>
      <c r="DF68" s="48"/>
    </row>
    <row r="69" spans="1:112" x14ac:dyDescent="0.25">
      <c r="A69" s="27">
        <v>1132</v>
      </c>
      <c r="B69" s="29">
        <v>11626.5</v>
      </c>
      <c r="C69" s="29">
        <v>10977.6</v>
      </c>
      <c r="E69" s="645" t="b">
        <f>IF(E55&lt;=F65,TRUE,FALSE)</f>
        <v>1</v>
      </c>
      <c r="F69" s="646"/>
      <c r="G69" s="637" t="b">
        <f>IF(E55&gt;F65,TRUE,FALSE)</f>
        <v>0</v>
      </c>
      <c r="H69" s="647"/>
      <c r="I69" s="648" t="b">
        <f>IF(N60&gt;K60,IF(ROUND(N60,0)=0,TRUE,FALSE),IF(ROUND(K60,0)=0,TRUE,FALSE))</f>
        <v>1</v>
      </c>
      <c r="J69" s="647"/>
      <c r="K69" s="648" t="b">
        <f>IF(E55&lt;=1345,TRUE,FALSE)</f>
        <v>1</v>
      </c>
      <c r="L69" s="646"/>
      <c r="M69" s="637" t="b">
        <f>IF(AND(1345&lt;E55,E55&lt;M65),TRUE,FALSE)</f>
        <v>0</v>
      </c>
      <c r="N69" s="646"/>
      <c r="O69" s="637" t="b">
        <f>IF(E55&gt;M65,TRUE,FALSE)</f>
        <v>0</v>
      </c>
      <c r="P69" s="638"/>
      <c r="Q69" s="26" t="s">
        <v>234</v>
      </c>
      <c r="R69" s="52">
        <v>0.57142999999999999</v>
      </c>
      <c r="S69" t="s">
        <v>235</v>
      </c>
      <c r="W69" s="645" t="b">
        <f>IF(W55&lt;=X65,TRUE,FALSE)</f>
        <v>1</v>
      </c>
      <c r="X69" s="646"/>
      <c r="Y69" s="637" t="b">
        <f>IF(W55&gt;X65,TRUE,FALSE)</f>
        <v>0</v>
      </c>
      <c r="Z69" s="647"/>
      <c r="AA69" s="648" t="b">
        <f>IF(AF60&gt;AC60,IF(ROUND(AF60,0)=0,TRUE,FALSE),IF(ROUND(AC60,0)=0,TRUE,FALSE))</f>
        <v>1</v>
      </c>
      <c r="AB69" s="647"/>
      <c r="AC69" s="648" t="b">
        <f>IF(W55&lt;=1345,TRUE,FALSE)</f>
        <v>1</v>
      </c>
      <c r="AD69" s="646"/>
      <c r="AE69" s="637" t="b">
        <f>IF(AND(1345&lt;W55,W55&lt;AE65),TRUE,FALSE)</f>
        <v>0</v>
      </c>
      <c r="AF69" s="646"/>
      <c r="AG69" s="637" t="b">
        <f>IF(W55&gt;AE65,TRUE,FALSE)</f>
        <v>0</v>
      </c>
      <c r="AH69" s="638"/>
      <c r="AI69" s="26" t="s">
        <v>234</v>
      </c>
      <c r="AJ69" s="52">
        <v>0.57142999999999999</v>
      </c>
      <c r="AK69" t="s">
        <v>235</v>
      </c>
      <c r="AO69" s="645" t="b">
        <f>IF(AO55&lt;=AP65,TRUE,FALSE)</f>
        <v>1</v>
      </c>
      <c r="AP69" s="646"/>
      <c r="AQ69" s="637" t="b">
        <f>IF(AO55&gt;AP65,TRUE,FALSE)</f>
        <v>0</v>
      </c>
      <c r="AR69" s="647"/>
      <c r="AS69" s="648" t="b">
        <f>IF(AX60&gt;AU60,IF(ROUND(AX60,0)=0,TRUE,FALSE),IF(ROUND(AU60,0)=0,TRUE,FALSE))</f>
        <v>1</v>
      </c>
      <c r="AT69" s="647"/>
      <c r="AU69" s="648" t="b">
        <f>IF(AO55&lt;=1345,TRUE,FALSE)</f>
        <v>1</v>
      </c>
      <c r="AV69" s="646"/>
      <c r="AW69" s="637" t="b">
        <f>IF(AND(1345&lt;AO55,AO55&lt;AW65),TRUE,FALSE)</f>
        <v>0</v>
      </c>
      <c r="AX69" s="646"/>
      <c r="AY69" s="637" t="b">
        <f>IF(AO55&gt;AW65,TRUE,FALSE)</f>
        <v>0</v>
      </c>
      <c r="AZ69" s="638"/>
      <c r="BA69" s="26" t="s">
        <v>234</v>
      </c>
      <c r="BB69" s="52">
        <v>0.57142999999999999</v>
      </c>
      <c r="BC69" t="s">
        <v>235</v>
      </c>
      <c r="BH69" s="645" t="b">
        <f>IF(BH55&lt;=BI65,TRUE,FALSE)</f>
        <v>1</v>
      </c>
      <c r="BI69" s="646"/>
      <c r="BJ69" s="637" t="b">
        <f>IF(BH55&gt;BI65,TRUE,FALSE)</f>
        <v>0</v>
      </c>
      <c r="BK69" s="647"/>
      <c r="BL69" s="648" t="b">
        <f>IF(BQ60&gt;BN60,IF(ROUND(BQ60,0)=0,TRUE,FALSE),IF(ROUND(BN60,0)=0,TRUE,FALSE))</f>
        <v>1</v>
      </c>
      <c r="BM69" s="647"/>
      <c r="BN69" s="648" t="b">
        <f>IF(BH55&lt;=1345,TRUE,FALSE)</f>
        <v>1</v>
      </c>
      <c r="BO69" s="646"/>
      <c r="BP69" s="637" t="b">
        <f>IF(AND(1345&lt;BH55,BH55&lt;BP65),TRUE,FALSE)</f>
        <v>0</v>
      </c>
      <c r="BQ69" s="646"/>
      <c r="BR69" s="637" t="b">
        <f>IF(BH55&gt;BP65,TRUE,FALSE)</f>
        <v>0</v>
      </c>
      <c r="BS69" s="638"/>
      <c r="BT69" s="26" t="s">
        <v>234</v>
      </c>
      <c r="BU69" s="52">
        <v>0.57142999999999999</v>
      </c>
      <c r="BV69" t="s">
        <v>235</v>
      </c>
      <c r="BZ69" s="645" t="b">
        <f>IF(BZ55&lt;=CA65,TRUE,FALSE)</f>
        <v>1</v>
      </c>
      <c r="CA69" s="646"/>
      <c r="CB69" s="637" t="b">
        <f>IF(BZ55&gt;CA65,TRUE,FALSE)</f>
        <v>0</v>
      </c>
      <c r="CC69" s="647"/>
      <c r="CD69" s="648" t="b">
        <f>IF(CI60&gt;CF60,IF(ROUND(CI60,0)=0,TRUE,FALSE),IF(ROUND(CF60,0)=0,TRUE,FALSE))</f>
        <v>1</v>
      </c>
      <c r="CE69" s="647"/>
      <c r="CF69" s="648" t="b">
        <f>IF(BZ55&lt;=1345,TRUE,FALSE)</f>
        <v>1</v>
      </c>
      <c r="CG69" s="646"/>
      <c r="CH69" s="637" t="b">
        <f>IF(AND(1345&lt;BZ55,BZ55&lt;CH65),TRUE,FALSE)</f>
        <v>0</v>
      </c>
      <c r="CI69" s="646"/>
      <c r="CJ69" s="637" t="b">
        <f>IF(BZ55&gt;CH65,TRUE,FALSE)</f>
        <v>0</v>
      </c>
      <c r="CK69" s="638"/>
      <c r="CL69" s="26" t="s">
        <v>234</v>
      </c>
      <c r="CM69" s="52">
        <v>0.57142999999999999</v>
      </c>
      <c r="CN69" t="s">
        <v>235</v>
      </c>
      <c r="CR69" s="645" t="b">
        <f>IF(CR55&lt;=CS65,TRUE,FALSE)</f>
        <v>1</v>
      </c>
      <c r="CS69" s="646"/>
      <c r="CT69" s="637" t="b">
        <f>IF(CR55&gt;CS65,TRUE,FALSE)</f>
        <v>0</v>
      </c>
      <c r="CU69" s="647"/>
      <c r="CV69" s="648" t="b">
        <f>IF(DA60&gt;CX60,IF(ROUND(DA60,0)=0,TRUE,FALSE),IF(ROUND(CX60,0)=0,TRUE,FALSE))</f>
        <v>1</v>
      </c>
      <c r="CW69" s="647"/>
      <c r="CX69" s="648" t="b">
        <f>IF(CR55&lt;=1345,TRUE,FALSE)</f>
        <v>1</v>
      </c>
      <c r="CY69" s="646"/>
      <c r="CZ69" s="637" t="b">
        <f>IF(AND(1345&lt;CR55,CR55&lt;CZ65),TRUE,FALSE)</f>
        <v>0</v>
      </c>
      <c r="DA69" s="646"/>
      <c r="DB69" s="637" t="b">
        <f>IF(CR55&gt;CZ65,TRUE,FALSE)</f>
        <v>0</v>
      </c>
      <c r="DC69" s="638"/>
      <c r="DD69" s="26" t="s">
        <v>234</v>
      </c>
      <c r="DE69" s="52">
        <v>0.57142999999999999</v>
      </c>
      <c r="DF69" t="s">
        <v>235</v>
      </c>
    </row>
    <row r="70" spans="1:112" x14ac:dyDescent="0.25">
      <c r="A70" s="27">
        <v>1133</v>
      </c>
      <c r="B70" s="29">
        <v>11603.8</v>
      </c>
      <c r="C70" s="29">
        <v>10938.9</v>
      </c>
      <c r="E70" s="36"/>
      <c r="F70" s="6"/>
      <c r="G70" s="5"/>
      <c r="H70" s="55"/>
      <c r="I70" s="58"/>
      <c r="J70" s="55"/>
      <c r="L70" s="6"/>
      <c r="M70" s="5"/>
      <c r="N70" s="6"/>
      <c r="O70" s="5"/>
      <c r="P70" s="2"/>
      <c r="Q70" t="s">
        <v>236</v>
      </c>
      <c r="W70" s="36"/>
      <c r="X70" s="6"/>
      <c r="Y70" s="5"/>
      <c r="Z70" s="55"/>
      <c r="AA70" s="58"/>
      <c r="AB70" s="55"/>
      <c r="AD70" s="6"/>
      <c r="AE70" s="5"/>
      <c r="AF70" s="6"/>
      <c r="AG70" s="5"/>
      <c r="AH70" s="2"/>
      <c r="AI70" t="s">
        <v>236</v>
      </c>
      <c r="AO70" s="36"/>
      <c r="AP70" s="6"/>
      <c r="AQ70" s="5"/>
      <c r="AR70" s="55"/>
      <c r="AS70" s="58"/>
      <c r="AT70" s="55"/>
      <c r="AV70" s="6"/>
      <c r="AW70" s="5"/>
      <c r="AX70" s="6"/>
      <c r="AY70" s="5"/>
      <c r="AZ70" s="2"/>
      <c r="BA70" t="s">
        <v>236</v>
      </c>
      <c r="BH70" s="36"/>
      <c r="BI70" s="6"/>
      <c r="BJ70" s="5"/>
      <c r="BK70" s="55"/>
      <c r="BL70" s="58"/>
      <c r="BM70" s="55"/>
      <c r="BO70" s="6"/>
      <c r="BP70" s="5"/>
      <c r="BQ70" s="6"/>
      <c r="BR70" s="5"/>
      <c r="BS70" s="2"/>
      <c r="BT70" t="s">
        <v>236</v>
      </c>
      <c r="BZ70" s="36"/>
      <c r="CA70" s="6"/>
      <c r="CB70" s="5"/>
      <c r="CC70" s="55"/>
      <c r="CD70" s="58"/>
      <c r="CE70" s="55"/>
      <c r="CG70" s="6"/>
      <c r="CH70" s="5"/>
      <c r="CI70" s="6"/>
      <c r="CJ70" s="5"/>
      <c r="CK70" s="2"/>
      <c r="CL70" t="s">
        <v>236</v>
      </c>
      <c r="CR70" s="36"/>
      <c r="CS70" s="6"/>
      <c r="CT70" s="5"/>
      <c r="CU70" s="55"/>
      <c r="CV70" s="58"/>
      <c r="CW70" s="55"/>
      <c r="CY70" s="6"/>
      <c r="CZ70" s="5"/>
      <c r="DA70" s="6"/>
      <c r="DB70" s="5"/>
      <c r="DC70" s="2"/>
      <c r="DD70" t="s">
        <v>236</v>
      </c>
    </row>
    <row r="71" spans="1:112" x14ac:dyDescent="0.25">
      <c r="A71" s="27">
        <v>1134</v>
      </c>
      <c r="B71" s="29">
        <v>11581.1</v>
      </c>
      <c r="C71" s="29">
        <v>10900.2</v>
      </c>
      <c r="E71" s="639" t="s">
        <v>237</v>
      </c>
      <c r="F71" s="640"/>
      <c r="G71" s="641" t="s">
        <v>237</v>
      </c>
      <c r="H71" s="642"/>
      <c r="I71" s="643" t="s">
        <v>238</v>
      </c>
      <c r="J71" s="642"/>
      <c r="K71" s="643" t="s">
        <v>237</v>
      </c>
      <c r="L71" s="640"/>
      <c r="M71" s="641" t="s">
        <v>237</v>
      </c>
      <c r="N71" s="640"/>
      <c r="O71" s="641" t="s">
        <v>237</v>
      </c>
      <c r="P71" s="644"/>
      <c r="W71" s="639" t="s">
        <v>237</v>
      </c>
      <c r="X71" s="640"/>
      <c r="Y71" s="641" t="s">
        <v>237</v>
      </c>
      <c r="Z71" s="642"/>
      <c r="AA71" s="643" t="s">
        <v>238</v>
      </c>
      <c r="AB71" s="642"/>
      <c r="AC71" s="643" t="s">
        <v>237</v>
      </c>
      <c r="AD71" s="640"/>
      <c r="AE71" s="641" t="s">
        <v>237</v>
      </c>
      <c r="AF71" s="640"/>
      <c r="AG71" s="641" t="s">
        <v>237</v>
      </c>
      <c r="AH71" s="644"/>
      <c r="AO71" s="639" t="s">
        <v>237</v>
      </c>
      <c r="AP71" s="640"/>
      <c r="AQ71" s="641" t="s">
        <v>237</v>
      </c>
      <c r="AR71" s="642"/>
      <c r="AS71" s="643" t="s">
        <v>238</v>
      </c>
      <c r="AT71" s="642"/>
      <c r="AU71" s="643" t="s">
        <v>237</v>
      </c>
      <c r="AV71" s="640"/>
      <c r="AW71" s="641" t="s">
        <v>237</v>
      </c>
      <c r="AX71" s="640"/>
      <c r="AY71" s="641" t="s">
        <v>237</v>
      </c>
      <c r="AZ71" s="644"/>
      <c r="BH71" s="639" t="s">
        <v>237</v>
      </c>
      <c r="BI71" s="640"/>
      <c r="BJ71" s="641" t="s">
        <v>237</v>
      </c>
      <c r="BK71" s="642"/>
      <c r="BL71" s="643" t="s">
        <v>238</v>
      </c>
      <c r="BM71" s="642"/>
      <c r="BN71" s="643" t="s">
        <v>237</v>
      </c>
      <c r="BO71" s="640"/>
      <c r="BP71" s="641" t="s">
        <v>237</v>
      </c>
      <c r="BQ71" s="640"/>
      <c r="BR71" s="641" t="s">
        <v>237</v>
      </c>
      <c r="BS71" s="644"/>
      <c r="BZ71" s="639" t="s">
        <v>237</v>
      </c>
      <c r="CA71" s="640"/>
      <c r="CB71" s="641" t="s">
        <v>237</v>
      </c>
      <c r="CC71" s="642"/>
      <c r="CD71" s="643" t="s">
        <v>238</v>
      </c>
      <c r="CE71" s="642"/>
      <c r="CF71" s="643" t="s">
        <v>237</v>
      </c>
      <c r="CG71" s="640"/>
      <c r="CH71" s="641" t="s">
        <v>237</v>
      </c>
      <c r="CI71" s="640"/>
      <c r="CJ71" s="641" t="s">
        <v>237</v>
      </c>
      <c r="CK71" s="644"/>
      <c r="CR71" s="639" t="s">
        <v>237</v>
      </c>
      <c r="CS71" s="640"/>
      <c r="CT71" s="641" t="s">
        <v>237</v>
      </c>
      <c r="CU71" s="642"/>
      <c r="CV71" s="643" t="s">
        <v>238</v>
      </c>
      <c r="CW71" s="642"/>
      <c r="CX71" s="643" t="s">
        <v>237</v>
      </c>
      <c r="CY71" s="640"/>
      <c r="CZ71" s="641" t="s">
        <v>237</v>
      </c>
      <c r="DA71" s="640"/>
      <c r="DB71" s="641" t="s">
        <v>237</v>
      </c>
      <c r="DC71" s="644"/>
    </row>
    <row r="72" spans="1:112" ht="15.75" thickBot="1" x14ac:dyDescent="0.3">
      <c r="A72" s="27">
        <v>1135</v>
      </c>
      <c r="B72" s="29">
        <v>11558.4</v>
      </c>
      <c r="C72" s="29">
        <v>10861.5</v>
      </c>
      <c r="E72" s="37">
        <f>VLOOKUP(SpecData!A105*SpecData!E23,A4:C307,3,TRUE)-(R59*N60)</f>
        <v>9425</v>
      </c>
      <c r="F72" s="38" t="s">
        <v>25</v>
      </c>
      <c r="G72" s="39">
        <f>(-73.32*SpecData!A105*SpecData!E23+104996)-(N60*R64)</f>
        <v>17333.822933762058</v>
      </c>
      <c r="H72" s="56" t="s">
        <v>25</v>
      </c>
      <c r="I72" s="59">
        <f>VLOOKUP(SpecData!A105*SpecData!E23,A4:C307,3,TRUE)</f>
        <v>9425</v>
      </c>
      <c r="J72" s="56" t="s">
        <v>25</v>
      </c>
      <c r="K72" s="45">
        <f>VLOOKUP(SpecData!A105*SpecData!E23,A4:C307,3,TRUE)-(R59*N60)</f>
        <v>9425</v>
      </c>
      <c r="L72" s="38" t="s">
        <v>25</v>
      </c>
      <c r="M72" s="39">
        <f>(-23.2889*SpecData!A105*SpecData!E23+37704.6)-(R59*N60)</f>
        <v>9860.1417965369728</v>
      </c>
      <c r="N72" s="38" t="s">
        <v>25</v>
      </c>
      <c r="O72" s="39">
        <f>(-73.32*SpecData!A105*SpecData!E23+104996)-(R64*N60)</f>
        <v>17333.822933762058</v>
      </c>
      <c r="P72" s="40" t="s">
        <v>25</v>
      </c>
      <c r="W72" s="37">
        <f>VLOOKUP(SpecData!B105*SpecData!E23,A$4:C$307,3,TRUE)-(AJ59*AF60)</f>
        <v>9995</v>
      </c>
      <c r="X72" s="38" t="s">
        <v>25</v>
      </c>
      <c r="Y72" s="39">
        <f>(-73.32*SpecData!B105*SpecData!E23+104996)-(AF60*AJ64)</f>
        <v>19533.422933762078</v>
      </c>
      <c r="Z72" s="56" t="s">
        <v>25</v>
      </c>
      <c r="AA72" s="59">
        <f>VLOOKUP(SpecData!B105*SpecData!E23,A$4:C$307,3,TRUE)</f>
        <v>9995</v>
      </c>
      <c r="AB72" s="56" t="s">
        <v>25</v>
      </c>
      <c r="AC72" s="45">
        <f>VLOOKUP(SpecData!B105*SpecData!E23,A$4:C$307,3,TRUE)-(AJ59*AF60)</f>
        <v>9995</v>
      </c>
      <c r="AD72" s="38" t="s">
        <v>25</v>
      </c>
      <c r="AE72" s="39">
        <f>(-23.2889*SpecData!B105*SpecData!E23+37704.6)-(AJ59*AF60)</f>
        <v>10558.808796536978</v>
      </c>
      <c r="AF72" s="38" t="s">
        <v>25</v>
      </c>
      <c r="AG72" s="39">
        <f>(-73.32*SpecData!B105*SpecData!E23+104996)-(AJ64*AF60)</f>
        <v>19533.422933762078</v>
      </c>
      <c r="AH72" s="40" t="s">
        <v>25</v>
      </c>
      <c r="AO72" s="37">
        <f>VLOOKUP(SpecData!C105*SpecData!E23,$A4:$C307,3,TRUE)-(BB59*AX60)</f>
        <v>10861.5</v>
      </c>
      <c r="AP72" s="38" t="s">
        <v>25</v>
      </c>
      <c r="AQ72" s="39">
        <f>(-73.32*SpecData!C105*SpecData!E23+104996)-(AX60*BB64)</f>
        <v>21733.022933762084</v>
      </c>
      <c r="AR72" s="56" t="s">
        <v>25</v>
      </c>
      <c r="AS72" s="59">
        <f>VLOOKUP(SpecData!C105*SpecData!E23,$A4:$C307,3,TRUE)</f>
        <v>10861.5</v>
      </c>
      <c r="AT72" s="56" t="s">
        <v>25</v>
      </c>
      <c r="AU72" s="45">
        <f>VLOOKUP(SpecData!C105*SpecData!E23,$A4:$C307,3,TRUE)-(BB59*AX60)</f>
        <v>10861.5</v>
      </c>
      <c r="AV72" s="38" t="s">
        <v>25</v>
      </c>
      <c r="AW72" s="39">
        <f>(-23.2889*SpecData!C105*SpecData!E23+37704.6)-(BB59*AX60)</f>
        <v>11257.475796536979</v>
      </c>
      <c r="AX72" s="38" t="s">
        <v>25</v>
      </c>
      <c r="AY72" s="39">
        <f>(-73.32*SpecData!C105*SpecData!E23+104996)-(BB64*AX60)</f>
        <v>21733.022933762084</v>
      </c>
      <c r="AZ72" s="40" t="s">
        <v>25</v>
      </c>
      <c r="BH72" s="37">
        <f>VLOOKUP(SpecData!D105*SpecData!E23,$A4:$C307,3,TRUE)-(BU59*BQ60)</f>
        <v>12022.5</v>
      </c>
      <c r="BI72" s="38" t="s">
        <v>25</v>
      </c>
      <c r="BJ72" s="39">
        <f>(-73.32*SpecData!D105*SpecData!E23+104996)-(BQ60*BU64)</f>
        <v>23932.622933762061</v>
      </c>
      <c r="BK72" s="56" t="s">
        <v>25</v>
      </c>
      <c r="BL72" s="59">
        <f>VLOOKUP(SpecData!D105*SpecData!E23,$A4:$C307,3,TRUE)</f>
        <v>12022.5</v>
      </c>
      <c r="BM72" s="56" t="s">
        <v>25</v>
      </c>
      <c r="BN72" s="45">
        <f>VLOOKUP(SpecData!D105*SpecData!E23,$A4:$C307,3,TRUE)-(BU59*BQ60)</f>
        <v>12022.5</v>
      </c>
      <c r="BO72" s="38" t="s">
        <v>25</v>
      </c>
      <c r="BP72" s="39">
        <f>(-23.2889*SpecData!D105*SpecData!E23+37704.6)-(BU59*BQ60)</f>
        <v>11956.142796536977</v>
      </c>
      <c r="BQ72" s="38" t="s">
        <v>25</v>
      </c>
      <c r="BR72" s="39">
        <f>(-73.32*SpecData!D105*SpecData!E23+104996)-(BU64*BQ60)</f>
        <v>23932.622933762061</v>
      </c>
      <c r="BS72" s="40" t="s">
        <v>25</v>
      </c>
      <c r="BZ72" s="37">
        <f>VLOOKUP(SpecData!E105*SpecData!E23,$A4:$C307,3,TRUE)-(CM59*CI60)</f>
        <v>13269.6</v>
      </c>
      <c r="CA72" s="38" t="s">
        <v>25</v>
      </c>
      <c r="CB72" s="39">
        <f>(-73.32*SpecData!E105*SpecData!E23+104996)-(CI60*CM64)</f>
        <v>26132.222933762081</v>
      </c>
      <c r="CC72" s="56" t="s">
        <v>25</v>
      </c>
      <c r="CD72" s="59">
        <f>VLOOKUP(SpecData!E105*SpecData!E23,$A4:$C307,3,TRUE)</f>
        <v>13269.6</v>
      </c>
      <c r="CE72" s="56" t="s">
        <v>25</v>
      </c>
      <c r="CF72" s="45">
        <f>VLOOKUP(SpecData!E105*SpecData!E23,$A4:$C307,3,TRUE)-(CM59*CI60)</f>
        <v>13269.6</v>
      </c>
      <c r="CG72" s="38" t="s">
        <v>25</v>
      </c>
      <c r="CH72" s="39">
        <f>(-23.2889*SpecData!E105*SpecData!E23+37704.6)-(CM59*CI60)</f>
        <v>12654.809796536974</v>
      </c>
      <c r="CI72" s="38" t="s">
        <v>25</v>
      </c>
      <c r="CJ72" s="39">
        <f>(-73.32*SpecData!E105*SpecData!E23+104996)-(CM64*CI60)</f>
        <v>26132.222933762081</v>
      </c>
      <c r="CK72" s="40" t="s">
        <v>25</v>
      </c>
      <c r="CR72" s="37" t="e">
        <f>VLOOKUP(SpecData!F105*SpecData!E23,$A4:$C307,3,TRUE)-(DE59*DA60)</f>
        <v>#N/A</v>
      </c>
      <c r="CS72" s="38" t="s">
        <v>25</v>
      </c>
      <c r="CT72" s="39">
        <f>(-73.32*SpecData!F105*SpecData!E23+104996)-(DA60*DE64)</f>
        <v>28331.822933762058</v>
      </c>
      <c r="CU72" s="56" t="s">
        <v>25</v>
      </c>
      <c r="CV72" s="59" t="e">
        <f>VLOOKUP(SpecData!F105*SpecData!E23,$A4:$C307,3,TRUE)</f>
        <v>#N/A</v>
      </c>
      <c r="CW72" s="56" t="s">
        <v>25</v>
      </c>
      <c r="CX72" s="45" t="e">
        <f>VLOOKUP(SpecData!F105*SpecData!E23,$A4:$C307,3,TRUE)-(DE59*DA60)</f>
        <v>#N/A</v>
      </c>
      <c r="CY72" s="38" t="s">
        <v>25</v>
      </c>
      <c r="CZ72" s="39">
        <f>(-23.2889*SpecData!F105*SpecData!E23+37704.6)-(DE59*DA60)</f>
        <v>13353.476796536976</v>
      </c>
      <c r="DA72" s="38" t="s">
        <v>25</v>
      </c>
      <c r="DB72" s="39">
        <f>(-73.32*SpecData!F105*SpecData!E23+104996)-(DE64*DA60)</f>
        <v>28331.822933762058</v>
      </c>
      <c r="DC72" s="40" t="s">
        <v>25</v>
      </c>
    </row>
    <row r="73" spans="1:112" ht="15.75" thickBot="1" x14ac:dyDescent="0.3">
      <c r="A73" s="27">
        <v>1136</v>
      </c>
      <c r="B73" s="29">
        <v>11535.7</v>
      </c>
      <c r="C73" s="29">
        <v>10822.8</v>
      </c>
      <c r="E73" s="46">
        <f>IF(AND(F62,E69),E72,0)</f>
        <v>0</v>
      </c>
      <c r="F73" s="43" t="s">
        <v>25</v>
      </c>
      <c r="G73" s="47">
        <f>IF(AND(F62,G69),G72,0)</f>
        <v>0</v>
      </c>
      <c r="H73" s="43" t="s">
        <v>25</v>
      </c>
      <c r="I73" s="47">
        <f>IF(AND(I62,I69),I72,0)</f>
        <v>9425</v>
      </c>
      <c r="J73" s="43" t="s">
        <v>25</v>
      </c>
      <c r="K73" s="47">
        <f>IF(AND(M62,K69),K72,0)</f>
        <v>0</v>
      </c>
      <c r="L73" s="43" t="s">
        <v>25</v>
      </c>
      <c r="M73" s="47">
        <f>IF(AND(M62,M69),M72,0)</f>
        <v>0</v>
      </c>
      <c r="N73" s="43" t="s">
        <v>25</v>
      </c>
      <c r="O73" s="47">
        <f>IF(AND(M62,O69),O72,0)</f>
        <v>0</v>
      </c>
      <c r="P73" s="44" t="s">
        <v>25</v>
      </c>
      <c r="W73" s="46">
        <f>IF(AND(X62,W69),W72,0)</f>
        <v>0</v>
      </c>
      <c r="X73" s="43" t="s">
        <v>25</v>
      </c>
      <c r="Y73" s="47">
        <f>IF(AND(X62,Y69),Y72,0)</f>
        <v>0</v>
      </c>
      <c r="Z73" s="43" t="s">
        <v>25</v>
      </c>
      <c r="AA73" s="47">
        <f>IF(AND(AA62,AA69),AA72,0)</f>
        <v>9995</v>
      </c>
      <c r="AB73" s="43" t="s">
        <v>25</v>
      </c>
      <c r="AC73" s="47">
        <f>IF(AND(AE62,AC69),AC72,0)</f>
        <v>0</v>
      </c>
      <c r="AD73" s="43" t="s">
        <v>25</v>
      </c>
      <c r="AE73" s="47">
        <f>IF(AND(AE62,AE69),AE72,0)</f>
        <v>0</v>
      </c>
      <c r="AF73" s="43" t="s">
        <v>25</v>
      </c>
      <c r="AG73" s="47">
        <f>IF(AND(AE62,AG69),AG72,0)</f>
        <v>0</v>
      </c>
      <c r="AH73" s="44" t="s">
        <v>25</v>
      </c>
      <c r="AO73" s="46">
        <f>IF(AND(AP62,AO69),AO72,0)</f>
        <v>0</v>
      </c>
      <c r="AP73" s="43" t="s">
        <v>25</v>
      </c>
      <c r="AQ73" s="47">
        <f>IF(AND(AP62,AQ69),AQ72,0)</f>
        <v>0</v>
      </c>
      <c r="AR73" s="43" t="s">
        <v>25</v>
      </c>
      <c r="AS73" s="47">
        <f>IF(AND(AS62,AS69),AS72,0)</f>
        <v>10861.5</v>
      </c>
      <c r="AT73" s="43" t="s">
        <v>25</v>
      </c>
      <c r="AU73" s="47">
        <f>IF(AND(AW62,AU69),AU72,0)</f>
        <v>0</v>
      </c>
      <c r="AV73" s="43" t="s">
        <v>25</v>
      </c>
      <c r="AW73" s="47">
        <f>IF(AND(AW62,AW69),AW72,0)</f>
        <v>0</v>
      </c>
      <c r="AX73" s="43" t="s">
        <v>25</v>
      </c>
      <c r="AY73" s="47">
        <f>IF(AND(AW62,AY69),AY72,0)</f>
        <v>0</v>
      </c>
      <c r="AZ73" s="44" t="s">
        <v>25</v>
      </c>
      <c r="BH73" s="46">
        <f>IF(AND(BI62,BH69),BH72,0)</f>
        <v>0</v>
      </c>
      <c r="BI73" s="43" t="s">
        <v>25</v>
      </c>
      <c r="BJ73" s="47">
        <f>IF(AND(BI62,BJ69),BJ72,0)</f>
        <v>0</v>
      </c>
      <c r="BK73" s="43" t="s">
        <v>25</v>
      </c>
      <c r="BL73" s="47">
        <f>IF(AND(BL62,BL69),BL72,0)</f>
        <v>12022.5</v>
      </c>
      <c r="BM73" s="43" t="s">
        <v>25</v>
      </c>
      <c r="BN73" s="47">
        <f>IF(AND(BP62,BN69),BN72,0)</f>
        <v>0</v>
      </c>
      <c r="BO73" s="43" t="s">
        <v>25</v>
      </c>
      <c r="BP73" s="47">
        <f>IF(AND(BP62,BP69),BP72,0)</f>
        <v>0</v>
      </c>
      <c r="BQ73" s="43" t="s">
        <v>25</v>
      </c>
      <c r="BR73" s="47">
        <f>IF(AND(BP62,BR69),BR72,0)</f>
        <v>0</v>
      </c>
      <c r="BS73" s="44" t="s">
        <v>25</v>
      </c>
      <c r="BZ73" s="46">
        <f>IF(AND(CA62,BZ69),BZ72,0)</f>
        <v>0</v>
      </c>
      <c r="CA73" s="43" t="s">
        <v>25</v>
      </c>
      <c r="CB73" s="47">
        <f>IF(AND(CA62,CB69),CB72,0)</f>
        <v>0</v>
      </c>
      <c r="CC73" s="43" t="s">
        <v>25</v>
      </c>
      <c r="CD73" s="47">
        <f>IF(AND(CD62,CD69),CD72,0)</f>
        <v>13269.6</v>
      </c>
      <c r="CE73" s="43" t="s">
        <v>25</v>
      </c>
      <c r="CF73" s="47">
        <f>IF(AND(CH62,CF69),CF72,0)</f>
        <v>0</v>
      </c>
      <c r="CG73" s="43" t="s">
        <v>25</v>
      </c>
      <c r="CH73" s="47">
        <f>IF(AND(CH62,CH69),CH72,0)</f>
        <v>0</v>
      </c>
      <c r="CI73" s="43" t="s">
        <v>25</v>
      </c>
      <c r="CJ73" s="47">
        <f>IF(AND(CH62,CJ69),CJ72,0)</f>
        <v>0</v>
      </c>
      <c r="CK73" s="44" t="s">
        <v>25</v>
      </c>
      <c r="CR73" s="46">
        <f>IF(AND(CS62,CR69),CR72,0)</f>
        <v>0</v>
      </c>
      <c r="CS73" s="43" t="s">
        <v>25</v>
      </c>
      <c r="CT73" s="47">
        <f>IF(AND(CS62,CT69),CT72,0)</f>
        <v>0</v>
      </c>
      <c r="CU73" s="43" t="s">
        <v>25</v>
      </c>
      <c r="CV73" s="47" t="e">
        <f>IF(AND(CV62,CV69),CV72,0)</f>
        <v>#N/A</v>
      </c>
      <c r="CW73" s="43" t="s">
        <v>25</v>
      </c>
      <c r="CX73" s="47">
        <f>IF(AND(CZ62,CX69),CX72,0)</f>
        <v>0</v>
      </c>
      <c r="CY73" s="43" t="s">
        <v>25</v>
      </c>
      <c r="CZ73" s="47">
        <f>IF(AND(CZ62,CZ69),CZ72,0)</f>
        <v>0</v>
      </c>
      <c r="DA73" s="43" t="s">
        <v>25</v>
      </c>
      <c r="DB73" s="47">
        <f>IF(AND(CZ62,DB69),DB72,0)</f>
        <v>0</v>
      </c>
      <c r="DC73" s="44" t="s">
        <v>25</v>
      </c>
    </row>
    <row r="74" spans="1:112" x14ac:dyDescent="0.25">
      <c r="A74" s="27">
        <v>1137</v>
      </c>
      <c r="B74" s="29">
        <v>11513</v>
      </c>
      <c r="C74" s="29">
        <v>10784.1</v>
      </c>
      <c r="E74" s="533" t="s">
        <v>34</v>
      </c>
      <c r="F74" s="32"/>
      <c r="G74" s="32"/>
      <c r="H74" s="32"/>
      <c r="I74" s="634" t="s">
        <v>239</v>
      </c>
      <c r="J74" s="634"/>
      <c r="K74" s="634"/>
      <c r="L74" s="634"/>
      <c r="M74" s="32"/>
      <c r="N74" s="32"/>
      <c r="O74" s="32"/>
      <c r="P74" s="33"/>
      <c r="W74" s="533" t="s">
        <v>34</v>
      </c>
      <c r="X74" s="32"/>
      <c r="Y74" s="32"/>
      <c r="Z74" s="32"/>
      <c r="AA74" s="634" t="s">
        <v>239</v>
      </c>
      <c r="AB74" s="634"/>
      <c r="AC74" s="634"/>
      <c r="AD74" s="634"/>
      <c r="AE74" s="32"/>
      <c r="AF74" s="32"/>
      <c r="AG74" s="32"/>
      <c r="AH74" s="33"/>
      <c r="AO74" s="533" t="s">
        <v>34</v>
      </c>
      <c r="AP74" s="32"/>
      <c r="AQ74" s="32"/>
      <c r="AR74" s="32"/>
      <c r="AS74" s="634" t="s">
        <v>239</v>
      </c>
      <c r="AT74" s="634"/>
      <c r="AU74" s="634"/>
      <c r="AV74" s="634"/>
      <c r="AW74" s="32"/>
      <c r="AX74" s="32"/>
      <c r="AY74" s="32"/>
      <c r="AZ74" s="33"/>
      <c r="BH74" s="533" t="s">
        <v>34</v>
      </c>
      <c r="BI74" s="32"/>
      <c r="BJ74" s="32"/>
      <c r="BK74" s="32"/>
      <c r="BL74" s="634" t="s">
        <v>239</v>
      </c>
      <c r="BM74" s="634"/>
      <c r="BN74" s="634"/>
      <c r="BO74" s="634"/>
      <c r="BP74" s="32"/>
      <c r="BQ74" s="32"/>
      <c r="BR74" s="32"/>
      <c r="BS74" s="33"/>
      <c r="BZ74" s="533" t="s">
        <v>34</v>
      </c>
      <c r="CA74" s="32"/>
      <c r="CB74" s="32"/>
      <c r="CC74" s="32"/>
      <c r="CD74" s="634" t="s">
        <v>239</v>
      </c>
      <c r="CE74" s="634"/>
      <c r="CF74" s="634"/>
      <c r="CG74" s="634"/>
      <c r="CH74" s="32"/>
      <c r="CI74" s="32"/>
      <c r="CJ74" s="32"/>
      <c r="CK74" s="33"/>
      <c r="CR74" s="533" t="s">
        <v>34</v>
      </c>
      <c r="CS74" s="32"/>
      <c r="CT74" s="32"/>
      <c r="CU74" s="32"/>
      <c r="CV74" s="634" t="s">
        <v>239</v>
      </c>
      <c r="CW74" s="634"/>
      <c r="CX74" s="634"/>
      <c r="CY74" s="634"/>
      <c r="CZ74" s="32"/>
      <c r="DA74" s="32"/>
      <c r="DB74" s="32"/>
      <c r="DC74" s="33"/>
    </row>
    <row r="75" spans="1:112" ht="15.75" thickBot="1" x14ac:dyDescent="0.3">
      <c r="A75" s="27">
        <v>1138</v>
      </c>
      <c r="B75" s="29">
        <v>11490.3</v>
      </c>
      <c r="C75" s="29">
        <v>10745.4</v>
      </c>
      <c r="E75" s="633"/>
      <c r="F75" s="42"/>
      <c r="G75" s="42"/>
      <c r="H75" s="42"/>
      <c r="J75" s="45">
        <f>SUM(E73+G73+I73+K73+M73+O73+K$3)</f>
        <v>9225</v>
      </c>
      <c r="K75" s="42" t="s">
        <v>25</v>
      </c>
      <c r="L75" s="42"/>
      <c r="M75" s="42"/>
      <c r="N75" s="42"/>
      <c r="O75" s="42"/>
      <c r="P75" s="40"/>
      <c r="W75" s="633"/>
      <c r="X75" s="42"/>
      <c r="Y75" s="42"/>
      <c r="Z75" s="42"/>
      <c r="AB75" s="45">
        <f>SUM(W73+Y73+AA73+AC73+AE73+AG73+K$3)</f>
        <v>9795</v>
      </c>
      <c r="AC75" s="42" t="s">
        <v>25</v>
      </c>
      <c r="AD75" s="42"/>
      <c r="AE75" s="42"/>
      <c r="AF75" s="42"/>
      <c r="AG75" s="42"/>
      <c r="AH75" s="40"/>
      <c r="AO75" s="633"/>
      <c r="AP75" s="42"/>
      <c r="AQ75" s="42"/>
      <c r="AR75" s="42"/>
      <c r="AT75" s="45">
        <f>SUM(AO73+AQ73+AS73+AU73+AW73+AY73+$K3)</f>
        <v>10661.5</v>
      </c>
      <c r="AU75" s="42" t="s">
        <v>25</v>
      </c>
      <c r="AV75" s="42"/>
      <c r="AW75" s="42"/>
      <c r="AX75" s="42"/>
      <c r="AY75" s="42"/>
      <c r="AZ75" s="40"/>
      <c r="BH75" s="633"/>
      <c r="BI75" s="42"/>
      <c r="BJ75" s="42"/>
      <c r="BK75" s="42"/>
      <c r="BM75" s="45">
        <f>SUM(BH73+BJ73+BL73+BN73+BP73+BR73+$K3)</f>
        <v>11822.5</v>
      </c>
      <c r="BN75" s="42" t="s">
        <v>25</v>
      </c>
      <c r="BO75" s="42"/>
      <c r="BP75" s="42"/>
      <c r="BQ75" s="42"/>
      <c r="BR75" s="42"/>
      <c r="BS75" s="40"/>
      <c r="BZ75" s="633"/>
      <c r="CA75" s="42"/>
      <c r="CB75" s="42"/>
      <c r="CC75" s="42"/>
      <c r="CE75" s="45">
        <f>SUM(BZ73+CB73+CD73+CF73+CH73+CJ73+$K3)</f>
        <v>13069.6</v>
      </c>
      <c r="CF75" s="42" t="s">
        <v>25</v>
      </c>
      <c r="CG75" s="42"/>
      <c r="CH75" s="42"/>
      <c r="CI75" s="42"/>
      <c r="CJ75" s="42"/>
      <c r="CK75" s="40"/>
      <c r="CR75" s="633"/>
      <c r="CS75" s="42"/>
      <c r="CT75" s="42"/>
      <c r="CU75" s="42"/>
      <c r="CW75" s="45" t="e">
        <f>SUM(CR73+CT73+CV73+CX73+CZ73+DB73+$K3)</f>
        <v>#N/A</v>
      </c>
      <c r="CX75" s="42" t="s">
        <v>25</v>
      </c>
      <c r="CY75" s="42"/>
      <c r="CZ75" s="42"/>
      <c r="DA75" s="42"/>
      <c r="DB75" s="42"/>
      <c r="DC75" s="40"/>
    </row>
    <row r="76" spans="1:112" x14ac:dyDescent="0.25">
      <c r="A76" s="27">
        <v>1139</v>
      </c>
      <c r="B76" s="29">
        <v>11467.6</v>
      </c>
      <c r="C76" s="29">
        <v>10706.7</v>
      </c>
      <c r="E76" s="533" t="s">
        <v>240</v>
      </c>
      <c r="F76" s="32"/>
      <c r="G76" s="32"/>
      <c r="H76" s="32"/>
      <c r="I76" s="634" t="s">
        <v>241</v>
      </c>
      <c r="J76" s="634"/>
      <c r="K76" s="634"/>
      <c r="L76" s="634"/>
      <c r="M76" s="32"/>
      <c r="N76" s="32"/>
      <c r="O76" s="32"/>
      <c r="P76" s="33"/>
      <c r="W76" s="533" t="s">
        <v>240</v>
      </c>
      <c r="X76" s="32"/>
      <c r="Y76" s="32"/>
      <c r="Z76" s="32"/>
      <c r="AA76" s="634" t="s">
        <v>241</v>
      </c>
      <c r="AB76" s="634"/>
      <c r="AC76" s="634"/>
      <c r="AD76" s="634"/>
      <c r="AE76" s="32"/>
      <c r="AF76" s="32"/>
      <c r="AG76" s="32"/>
      <c r="AH76" s="33"/>
      <c r="AO76" s="533" t="s">
        <v>240</v>
      </c>
      <c r="AP76" s="32"/>
      <c r="AQ76" s="32"/>
      <c r="AR76" s="32"/>
      <c r="AS76" s="634" t="s">
        <v>241</v>
      </c>
      <c r="AT76" s="634"/>
      <c r="AU76" s="634"/>
      <c r="AV76" s="634"/>
      <c r="AW76" s="32"/>
      <c r="AX76" s="32"/>
      <c r="AY76" s="32"/>
      <c r="AZ76" s="33"/>
      <c r="BH76" s="533" t="s">
        <v>240</v>
      </c>
      <c r="BI76" s="32"/>
      <c r="BJ76" s="32"/>
      <c r="BK76" s="32"/>
      <c r="BL76" s="634" t="s">
        <v>241</v>
      </c>
      <c r="BM76" s="634"/>
      <c r="BN76" s="634"/>
      <c r="BO76" s="634"/>
      <c r="BP76" s="32"/>
      <c r="BQ76" s="32"/>
      <c r="BR76" s="32"/>
      <c r="BS76" s="33"/>
      <c r="BZ76" s="533" t="s">
        <v>240</v>
      </c>
      <c r="CA76" s="32"/>
      <c r="CB76" s="32"/>
      <c r="CC76" s="32"/>
      <c r="CD76" s="634" t="s">
        <v>241</v>
      </c>
      <c r="CE76" s="634"/>
      <c r="CF76" s="634"/>
      <c r="CG76" s="634"/>
      <c r="CH76" s="32"/>
      <c r="CI76" s="32"/>
      <c r="CJ76" s="32"/>
      <c r="CK76" s="33"/>
      <c r="CR76" s="533" t="s">
        <v>240</v>
      </c>
      <c r="CS76" s="32"/>
      <c r="CT76" s="32"/>
      <c r="CU76" s="32"/>
      <c r="CV76" s="634" t="s">
        <v>241</v>
      </c>
      <c r="CW76" s="634"/>
      <c r="CX76" s="634"/>
      <c r="CY76" s="634"/>
      <c r="CZ76" s="32"/>
      <c r="DA76" s="32"/>
      <c r="DB76" s="32"/>
      <c r="DC76" s="33"/>
    </row>
    <row r="77" spans="1:112" ht="15.75" thickBot="1" x14ac:dyDescent="0.3">
      <c r="A77" s="27">
        <v>1140</v>
      </c>
      <c r="B77" s="29">
        <v>11444.9</v>
      </c>
      <c r="C77" s="29">
        <v>10668</v>
      </c>
      <c r="E77" s="635"/>
      <c r="I77" s="636" t="s">
        <v>242</v>
      </c>
      <c r="J77" s="636"/>
      <c r="K77" s="636"/>
      <c r="L77" s="636"/>
      <c r="P77" s="2"/>
      <c r="W77" s="635"/>
      <c r="AA77" s="636" t="s">
        <v>242</v>
      </c>
      <c r="AB77" s="636"/>
      <c r="AC77" s="636"/>
      <c r="AD77" s="636"/>
      <c r="AH77" s="2"/>
      <c r="AO77" s="635"/>
      <c r="AS77" s="636" t="s">
        <v>242</v>
      </c>
      <c r="AT77" s="636"/>
      <c r="AU77" s="636"/>
      <c r="AV77" s="636"/>
      <c r="AZ77" s="2"/>
      <c r="BH77" s="635"/>
      <c r="BL77" s="636" t="s">
        <v>242</v>
      </c>
      <c r="BM77" s="636"/>
      <c r="BN77" s="636"/>
      <c r="BO77" s="636"/>
      <c r="BS77" s="2"/>
      <c r="BZ77" s="635"/>
      <c r="CD77" s="636" t="s">
        <v>242</v>
      </c>
      <c r="CE77" s="636"/>
      <c r="CF77" s="636"/>
      <c r="CG77" s="636"/>
      <c r="CK77" s="2"/>
      <c r="CR77" s="635"/>
      <c r="CV77" s="636" t="s">
        <v>242</v>
      </c>
      <c r="CW77" s="636"/>
      <c r="CX77" s="636"/>
      <c r="CY77" s="636"/>
      <c r="DC77" s="2"/>
    </row>
    <row r="78" spans="1:112" ht="16.5" thickTop="1" thickBot="1" x14ac:dyDescent="0.3">
      <c r="A78" s="27">
        <v>1141</v>
      </c>
      <c r="B78" s="29">
        <v>11422.2</v>
      </c>
      <c r="C78" s="29">
        <v>10629.3</v>
      </c>
      <c r="E78" s="633"/>
      <c r="F78" s="42"/>
      <c r="G78" s="42"/>
      <c r="H78" s="42"/>
      <c r="I78" s="42"/>
      <c r="J78" s="49">
        <f>IF(J3&gt;0,J75+((I3-1013)*S25),J75+((I3-1013)*L3))</f>
        <v>9225</v>
      </c>
      <c r="K78" s="50" t="s">
        <v>25</v>
      </c>
      <c r="L78" s="42"/>
      <c r="M78" s="42"/>
      <c r="N78" s="42"/>
      <c r="O78" s="42"/>
      <c r="P78" s="40"/>
      <c r="W78" s="633"/>
      <c r="X78" s="42"/>
      <c r="Y78" s="42"/>
      <c r="Z78" s="42"/>
      <c r="AA78" s="42"/>
      <c r="AB78" s="49">
        <f>IF(J$3&gt;0,AB75+((I$3-1013)*S$25),AB75+((I$3-1013)*L$3))</f>
        <v>9795</v>
      </c>
      <c r="AC78" s="50" t="s">
        <v>25</v>
      </c>
      <c r="AD78" s="42"/>
      <c r="AE78" s="42"/>
      <c r="AF78" s="42"/>
      <c r="AG78" s="42"/>
      <c r="AH78" s="40"/>
      <c r="AO78" s="633"/>
      <c r="AP78" s="42"/>
      <c r="AQ78" s="42"/>
      <c r="AR78" s="42"/>
      <c r="AS78" s="42"/>
      <c r="AT78" s="49">
        <f>IF($J3&gt;0,AT75+(($I3-1013)*$S25),AT75+(($I3-1013)*$L3))</f>
        <v>10661.5</v>
      </c>
      <c r="AU78" s="50" t="s">
        <v>25</v>
      </c>
      <c r="AV78" s="42"/>
      <c r="AW78" s="42"/>
      <c r="AX78" s="42"/>
      <c r="AY78" s="42"/>
      <c r="AZ78" s="40"/>
      <c r="BH78" s="633"/>
      <c r="BI78" s="42"/>
      <c r="BJ78" s="42"/>
      <c r="BK78" s="42"/>
      <c r="BL78" s="42"/>
      <c r="BM78" s="49">
        <f>IF($J3&gt;0,BM75+(($I3-1013)*$S25),BM75+(($I3-1013)*$L3))</f>
        <v>11822.5</v>
      </c>
      <c r="BN78" s="50" t="s">
        <v>25</v>
      </c>
      <c r="BO78" s="42"/>
      <c r="BP78" s="42"/>
      <c r="BQ78" s="42"/>
      <c r="BR78" s="42"/>
      <c r="BS78" s="40"/>
      <c r="BZ78" s="633"/>
      <c r="CA78" s="42"/>
      <c r="CB78" s="42"/>
      <c r="CC78" s="42"/>
      <c r="CD78" s="42"/>
      <c r="CE78" s="49">
        <f>IF($J3&gt;0,CE75+(($I3-1013)*$S25),CE75+(($I3-1013)*$L3))</f>
        <v>13069.6</v>
      </c>
      <c r="CF78" s="50" t="s">
        <v>25</v>
      </c>
      <c r="CG78" s="42"/>
      <c r="CH78" s="42"/>
      <c r="CI78" s="42"/>
      <c r="CJ78" s="42"/>
      <c r="CK78" s="40"/>
      <c r="CR78" s="633"/>
      <c r="CS78" s="42"/>
      <c r="CT78" s="42"/>
      <c r="CU78" s="42"/>
      <c r="CV78" s="42"/>
      <c r="CW78" s="49" t="e">
        <f>IF($J3&gt;0,CW75+(($I3-1013)*$S25),CW75+(($I3-1013)*$L3))</f>
        <v>#N/A</v>
      </c>
      <c r="CX78" s="50" t="s">
        <v>25</v>
      </c>
      <c r="CY78" s="42"/>
      <c r="CZ78" s="42"/>
      <c r="DA78" s="42"/>
      <c r="DB78" s="42"/>
      <c r="DC78" s="40"/>
    </row>
    <row r="79" spans="1:112" x14ac:dyDescent="0.25">
      <c r="A79" s="27">
        <v>1142</v>
      </c>
      <c r="B79" s="29">
        <v>11399.5</v>
      </c>
      <c r="C79" s="29">
        <v>10590.6</v>
      </c>
    </row>
    <row r="80" spans="1:112" x14ac:dyDescent="0.25">
      <c r="A80" s="27">
        <v>1143</v>
      </c>
      <c r="B80" s="29">
        <v>11376.8</v>
      </c>
      <c r="C80" s="29">
        <v>10551.9</v>
      </c>
    </row>
    <row r="81" spans="1:3" x14ac:dyDescent="0.25">
      <c r="A81" s="27">
        <v>1144</v>
      </c>
      <c r="B81" s="29">
        <v>11354.1</v>
      </c>
      <c r="C81" s="29">
        <v>10513.2</v>
      </c>
    </row>
    <row r="82" spans="1:3" x14ac:dyDescent="0.25">
      <c r="A82" s="27">
        <v>1145</v>
      </c>
      <c r="B82" s="29">
        <v>11331.4</v>
      </c>
      <c r="C82" s="29">
        <v>10474.5</v>
      </c>
    </row>
    <row r="83" spans="1:3" x14ac:dyDescent="0.25">
      <c r="A83" s="27">
        <v>1146</v>
      </c>
      <c r="B83" s="29">
        <v>11308.7</v>
      </c>
      <c r="C83" s="29">
        <v>10435.799999999999</v>
      </c>
    </row>
    <row r="84" spans="1:3" x14ac:dyDescent="0.25">
      <c r="A84" s="27">
        <v>1147</v>
      </c>
      <c r="B84" s="29">
        <v>11286</v>
      </c>
      <c r="C84" s="29">
        <v>10397.1</v>
      </c>
    </row>
    <row r="85" spans="1:3" x14ac:dyDescent="0.25">
      <c r="A85" s="27">
        <v>1148</v>
      </c>
      <c r="B85" s="29">
        <v>11263.300000000099</v>
      </c>
      <c r="C85" s="29">
        <v>10358.4</v>
      </c>
    </row>
    <row r="86" spans="1:3" x14ac:dyDescent="0.25">
      <c r="A86" s="27">
        <v>1149</v>
      </c>
      <c r="B86" s="29">
        <v>11240.6</v>
      </c>
      <c r="C86" s="29">
        <v>10319.700000000001</v>
      </c>
    </row>
    <row r="87" spans="1:3" x14ac:dyDescent="0.25">
      <c r="A87" s="28">
        <v>1150</v>
      </c>
      <c r="B87" s="28">
        <v>11220.3</v>
      </c>
      <c r="C87" s="28">
        <v>10280</v>
      </c>
    </row>
    <row r="88" spans="1:3" x14ac:dyDescent="0.25">
      <c r="A88" s="27">
        <v>1151</v>
      </c>
      <c r="B88" s="29">
        <v>11198.2</v>
      </c>
      <c r="C88" s="29">
        <v>10261</v>
      </c>
    </row>
    <row r="89" spans="1:3" x14ac:dyDescent="0.25">
      <c r="A89" s="27">
        <v>1152</v>
      </c>
      <c r="B89" s="29">
        <v>11176.1</v>
      </c>
      <c r="C89" s="29">
        <v>10242</v>
      </c>
    </row>
    <row r="90" spans="1:3" x14ac:dyDescent="0.25">
      <c r="A90" s="27">
        <v>1153</v>
      </c>
      <c r="B90" s="29">
        <v>11154</v>
      </c>
      <c r="C90" s="29">
        <v>10223</v>
      </c>
    </row>
    <row r="91" spans="1:3" x14ac:dyDescent="0.25">
      <c r="A91" s="27">
        <v>1154</v>
      </c>
      <c r="B91" s="29">
        <v>11131.9</v>
      </c>
      <c r="C91" s="29">
        <v>10204</v>
      </c>
    </row>
    <row r="92" spans="1:3" x14ac:dyDescent="0.25">
      <c r="A92" s="27">
        <v>1155</v>
      </c>
      <c r="B92" s="29">
        <v>11109.8</v>
      </c>
      <c r="C92" s="29">
        <v>10185</v>
      </c>
    </row>
    <row r="93" spans="1:3" x14ac:dyDescent="0.25">
      <c r="A93" s="27">
        <v>1156</v>
      </c>
      <c r="B93" s="29">
        <v>11087.7</v>
      </c>
      <c r="C93" s="29">
        <v>10166</v>
      </c>
    </row>
    <row r="94" spans="1:3" x14ac:dyDescent="0.25">
      <c r="A94" s="27">
        <v>1157</v>
      </c>
      <c r="B94" s="29">
        <v>11065.6</v>
      </c>
      <c r="C94" s="29">
        <v>10147</v>
      </c>
    </row>
    <row r="95" spans="1:3" x14ac:dyDescent="0.25">
      <c r="A95" s="27">
        <v>1158</v>
      </c>
      <c r="B95" s="29">
        <v>11043.5</v>
      </c>
      <c r="C95" s="29">
        <v>10128</v>
      </c>
    </row>
    <row r="96" spans="1:3" x14ac:dyDescent="0.25">
      <c r="A96" s="27">
        <v>1159</v>
      </c>
      <c r="B96" s="29">
        <v>11021.4</v>
      </c>
      <c r="C96" s="29">
        <v>10109</v>
      </c>
    </row>
    <row r="97" spans="1:3" x14ac:dyDescent="0.25">
      <c r="A97" s="27">
        <v>1160</v>
      </c>
      <c r="B97" s="29">
        <v>10999.3</v>
      </c>
      <c r="C97" s="29">
        <v>10090</v>
      </c>
    </row>
    <row r="98" spans="1:3" x14ac:dyDescent="0.25">
      <c r="A98" s="27">
        <v>1161</v>
      </c>
      <c r="B98" s="29">
        <v>10977.2</v>
      </c>
      <c r="C98" s="29">
        <v>10071</v>
      </c>
    </row>
    <row r="99" spans="1:3" x14ac:dyDescent="0.25">
      <c r="A99" s="27">
        <v>1162</v>
      </c>
      <c r="B99" s="29">
        <v>10955.1</v>
      </c>
      <c r="C99" s="29">
        <v>10052</v>
      </c>
    </row>
    <row r="100" spans="1:3" x14ac:dyDescent="0.25">
      <c r="A100" s="27">
        <v>1163</v>
      </c>
      <c r="B100" s="29">
        <v>10933</v>
      </c>
      <c r="C100" s="29">
        <v>10033</v>
      </c>
    </row>
    <row r="101" spans="1:3" x14ac:dyDescent="0.25">
      <c r="A101" s="27">
        <v>1164</v>
      </c>
      <c r="B101" s="29">
        <v>10910.9</v>
      </c>
      <c r="C101" s="29">
        <v>10014</v>
      </c>
    </row>
    <row r="102" spans="1:3" x14ac:dyDescent="0.25">
      <c r="A102" s="27">
        <v>1165</v>
      </c>
      <c r="B102" s="29">
        <v>10888.8</v>
      </c>
      <c r="C102" s="29">
        <v>9995</v>
      </c>
    </row>
    <row r="103" spans="1:3" x14ac:dyDescent="0.25">
      <c r="A103" s="27">
        <v>1166</v>
      </c>
      <c r="B103" s="29">
        <v>10866.7</v>
      </c>
      <c r="C103" s="29">
        <v>9976</v>
      </c>
    </row>
    <row r="104" spans="1:3" x14ac:dyDescent="0.25">
      <c r="A104" s="27">
        <v>1167</v>
      </c>
      <c r="B104" s="29">
        <v>10844.6</v>
      </c>
      <c r="C104" s="29">
        <v>9957</v>
      </c>
    </row>
    <row r="105" spans="1:3" x14ac:dyDescent="0.25">
      <c r="A105" s="27">
        <v>1168</v>
      </c>
      <c r="B105" s="29">
        <v>10822.5</v>
      </c>
      <c r="C105" s="29">
        <v>9938</v>
      </c>
    </row>
    <row r="106" spans="1:3" x14ac:dyDescent="0.25">
      <c r="A106" s="27">
        <v>1169</v>
      </c>
      <c r="B106" s="29">
        <v>10800.4</v>
      </c>
      <c r="C106" s="29">
        <v>9919</v>
      </c>
    </row>
    <row r="107" spans="1:3" x14ac:dyDescent="0.25">
      <c r="A107" s="27">
        <v>1170</v>
      </c>
      <c r="B107" s="29">
        <v>10778.3</v>
      </c>
      <c r="C107" s="29">
        <v>9900</v>
      </c>
    </row>
    <row r="108" spans="1:3" x14ac:dyDescent="0.25">
      <c r="A108" s="27">
        <v>1171</v>
      </c>
      <c r="B108" s="29">
        <v>10756.2</v>
      </c>
      <c r="C108" s="29">
        <v>9881</v>
      </c>
    </row>
    <row r="109" spans="1:3" x14ac:dyDescent="0.25">
      <c r="A109" s="27">
        <v>1172</v>
      </c>
      <c r="B109" s="29">
        <v>10734.1</v>
      </c>
      <c r="C109" s="29">
        <v>9862</v>
      </c>
    </row>
    <row r="110" spans="1:3" x14ac:dyDescent="0.25">
      <c r="A110" s="27">
        <v>1173</v>
      </c>
      <c r="B110" s="29">
        <v>10712</v>
      </c>
      <c r="C110" s="29">
        <v>9843</v>
      </c>
    </row>
    <row r="111" spans="1:3" x14ac:dyDescent="0.25">
      <c r="A111" s="27">
        <v>1174</v>
      </c>
      <c r="B111" s="29">
        <v>10689.9</v>
      </c>
      <c r="C111" s="29">
        <v>9824</v>
      </c>
    </row>
    <row r="112" spans="1:3" x14ac:dyDescent="0.25">
      <c r="A112" s="27">
        <v>1175</v>
      </c>
      <c r="B112" s="29">
        <v>10667.8</v>
      </c>
      <c r="C112" s="29">
        <v>9805</v>
      </c>
    </row>
    <row r="113" spans="1:3" x14ac:dyDescent="0.25">
      <c r="A113" s="27">
        <v>1176</v>
      </c>
      <c r="B113" s="29">
        <v>10645.7</v>
      </c>
      <c r="C113" s="29">
        <v>9786</v>
      </c>
    </row>
    <row r="114" spans="1:3" x14ac:dyDescent="0.25">
      <c r="A114" s="27">
        <v>1177</v>
      </c>
      <c r="B114" s="29">
        <v>10623.6</v>
      </c>
      <c r="C114" s="29">
        <v>9767</v>
      </c>
    </row>
    <row r="115" spans="1:3" x14ac:dyDescent="0.25">
      <c r="A115" s="27">
        <v>1178</v>
      </c>
      <c r="B115" s="29">
        <v>10601.5</v>
      </c>
      <c r="C115" s="29">
        <v>9748</v>
      </c>
    </row>
    <row r="116" spans="1:3" x14ac:dyDescent="0.25">
      <c r="A116" s="27">
        <v>1179</v>
      </c>
      <c r="B116" s="29">
        <v>10579.4</v>
      </c>
      <c r="C116" s="29">
        <v>9729</v>
      </c>
    </row>
    <row r="117" spans="1:3" x14ac:dyDescent="0.25">
      <c r="A117" s="27">
        <v>1180</v>
      </c>
      <c r="B117" s="29">
        <v>10557.3</v>
      </c>
      <c r="C117" s="29">
        <v>9710</v>
      </c>
    </row>
    <row r="118" spans="1:3" x14ac:dyDescent="0.25">
      <c r="A118" s="27">
        <v>1181</v>
      </c>
      <c r="B118" s="29">
        <v>10535.2</v>
      </c>
      <c r="C118" s="29">
        <v>9691</v>
      </c>
    </row>
    <row r="119" spans="1:3" x14ac:dyDescent="0.25">
      <c r="A119" s="27">
        <v>1182</v>
      </c>
      <c r="B119" s="29">
        <v>10513.1</v>
      </c>
      <c r="C119" s="29">
        <v>9672</v>
      </c>
    </row>
    <row r="120" spans="1:3" x14ac:dyDescent="0.25">
      <c r="A120" s="27">
        <v>1183</v>
      </c>
      <c r="B120" s="29">
        <v>10491</v>
      </c>
      <c r="C120" s="29">
        <v>9653</v>
      </c>
    </row>
    <row r="121" spans="1:3" x14ac:dyDescent="0.25">
      <c r="A121" s="27">
        <v>1184</v>
      </c>
      <c r="B121" s="29">
        <v>10468.9</v>
      </c>
      <c r="C121" s="29">
        <v>9634</v>
      </c>
    </row>
    <row r="122" spans="1:3" x14ac:dyDescent="0.25">
      <c r="A122" s="27">
        <v>1185</v>
      </c>
      <c r="B122" s="29">
        <v>10446.800000000099</v>
      </c>
      <c r="C122" s="29">
        <v>9615</v>
      </c>
    </row>
    <row r="123" spans="1:3" x14ac:dyDescent="0.25">
      <c r="A123" s="27">
        <v>1186</v>
      </c>
      <c r="B123" s="29">
        <v>10424.700000000101</v>
      </c>
      <c r="C123" s="29">
        <v>9596</v>
      </c>
    </row>
    <row r="124" spans="1:3" x14ac:dyDescent="0.25">
      <c r="A124" s="27">
        <v>1187</v>
      </c>
      <c r="B124" s="29">
        <v>10402.6000000001</v>
      </c>
      <c r="C124" s="29">
        <v>9577</v>
      </c>
    </row>
    <row r="125" spans="1:3" x14ac:dyDescent="0.25">
      <c r="A125" s="27">
        <v>1188</v>
      </c>
      <c r="B125" s="29">
        <v>10380.5000000001</v>
      </c>
      <c r="C125" s="29">
        <v>9558</v>
      </c>
    </row>
    <row r="126" spans="1:3" x14ac:dyDescent="0.25">
      <c r="A126" s="27">
        <v>1189</v>
      </c>
      <c r="B126" s="29">
        <v>10358.4000000001</v>
      </c>
      <c r="C126" s="29">
        <v>9539</v>
      </c>
    </row>
    <row r="127" spans="1:3" x14ac:dyDescent="0.25">
      <c r="A127" s="27">
        <v>1190</v>
      </c>
      <c r="B127" s="29">
        <v>10336.300000000099</v>
      </c>
      <c r="C127" s="29">
        <v>9520</v>
      </c>
    </row>
    <row r="128" spans="1:3" x14ac:dyDescent="0.25">
      <c r="A128" s="27">
        <v>1191</v>
      </c>
      <c r="B128" s="29">
        <v>10314.200000000101</v>
      </c>
      <c r="C128" s="29">
        <v>9501</v>
      </c>
    </row>
    <row r="129" spans="1:3" x14ac:dyDescent="0.25">
      <c r="A129" s="27">
        <v>1192</v>
      </c>
      <c r="B129" s="29">
        <v>10292.1000000001</v>
      </c>
      <c r="C129" s="29">
        <v>9482</v>
      </c>
    </row>
    <row r="130" spans="1:3" x14ac:dyDescent="0.25">
      <c r="A130" s="27">
        <v>1193</v>
      </c>
      <c r="B130" s="29">
        <v>10270.0000000001</v>
      </c>
      <c r="C130" s="29">
        <v>9463</v>
      </c>
    </row>
    <row r="131" spans="1:3" x14ac:dyDescent="0.25">
      <c r="A131" s="27">
        <v>1194</v>
      </c>
      <c r="B131" s="29">
        <v>10247.9000000001</v>
      </c>
      <c r="C131" s="29">
        <v>9444</v>
      </c>
    </row>
    <row r="132" spans="1:3" x14ac:dyDescent="0.25">
      <c r="A132" s="27">
        <v>1195</v>
      </c>
      <c r="B132" s="29">
        <v>10225.800000000099</v>
      </c>
      <c r="C132" s="29">
        <v>9425</v>
      </c>
    </row>
    <row r="133" spans="1:3" x14ac:dyDescent="0.25">
      <c r="A133" s="27">
        <v>1196</v>
      </c>
      <c r="B133" s="29">
        <v>10203.700000000101</v>
      </c>
      <c r="C133" s="29">
        <v>9406</v>
      </c>
    </row>
    <row r="134" spans="1:3" x14ac:dyDescent="0.25">
      <c r="A134" s="27">
        <v>1197</v>
      </c>
      <c r="B134" s="29">
        <v>10181.6000000001</v>
      </c>
      <c r="C134" s="29">
        <v>9387</v>
      </c>
    </row>
    <row r="135" spans="1:3" x14ac:dyDescent="0.25">
      <c r="A135" s="27">
        <v>1198</v>
      </c>
      <c r="B135" s="29">
        <v>10159.5000000001</v>
      </c>
      <c r="C135" s="29">
        <v>9368</v>
      </c>
    </row>
    <row r="136" spans="1:3" x14ac:dyDescent="0.25">
      <c r="A136" s="27">
        <v>1199</v>
      </c>
      <c r="B136" s="29">
        <v>10137.4000000001</v>
      </c>
      <c r="C136" s="29">
        <v>9349</v>
      </c>
    </row>
    <row r="137" spans="1:3" x14ac:dyDescent="0.25">
      <c r="A137" s="28">
        <v>1200</v>
      </c>
      <c r="B137" s="28">
        <v>10117.6</v>
      </c>
      <c r="C137" s="28">
        <v>9329</v>
      </c>
    </row>
    <row r="138" spans="1:3" x14ac:dyDescent="0.25">
      <c r="A138" s="27">
        <v>1201</v>
      </c>
      <c r="B138" s="29">
        <v>10096.700000000001</v>
      </c>
      <c r="C138" s="29">
        <v>9310</v>
      </c>
    </row>
    <row r="139" spans="1:3" x14ac:dyDescent="0.25">
      <c r="A139" s="27">
        <v>1202</v>
      </c>
      <c r="B139" s="29">
        <v>10075.799999999999</v>
      </c>
      <c r="C139" s="29">
        <v>9291</v>
      </c>
    </row>
    <row r="140" spans="1:3" x14ac:dyDescent="0.25">
      <c r="A140" s="27">
        <v>1203</v>
      </c>
      <c r="B140" s="29">
        <v>10054.9</v>
      </c>
      <c r="C140" s="29">
        <v>9272</v>
      </c>
    </row>
    <row r="141" spans="1:3" x14ac:dyDescent="0.25">
      <c r="A141" s="27">
        <v>1204</v>
      </c>
      <c r="B141" s="29">
        <v>10034</v>
      </c>
      <c r="C141" s="29">
        <v>9253</v>
      </c>
    </row>
    <row r="142" spans="1:3" x14ac:dyDescent="0.25">
      <c r="A142" s="27">
        <v>1205</v>
      </c>
      <c r="B142" s="29">
        <v>10013.1</v>
      </c>
      <c r="C142" s="29">
        <v>9234</v>
      </c>
    </row>
    <row r="143" spans="1:3" x14ac:dyDescent="0.25">
      <c r="A143" s="27">
        <v>1206</v>
      </c>
      <c r="B143" s="29">
        <v>9992.2000000000007</v>
      </c>
      <c r="C143" s="29">
        <v>9215</v>
      </c>
    </row>
    <row r="144" spans="1:3" x14ac:dyDescent="0.25">
      <c r="A144" s="27">
        <v>1207</v>
      </c>
      <c r="B144" s="29">
        <v>9971.2999999999993</v>
      </c>
      <c r="C144" s="29">
        <v>9196</v>
      </c>
    </row>
    <row r="145" spans="1:3" x14ac:dyDescent="0.25">
      <c r="A145" s="27">
        <v>1208</v>
      </c>
      <c r="B145" s="29">
        <v>9950.4</v>
      </c>
      <c r="C145" s="29">
        <v>9177</v>
      </c>
    </row>
    <row r="146" spans="1:3" x14ac:dyDescent="0.25">
      <c r="A146" s="27">
        <v>1209</v>
      </c>
      <c r="B146" s="29">
        <v>9929.5</v>
      </c>
      <c r="C146" s="29">
        <v>9158</v>
      </c>
    </row>
    <row r="147" spans="1:3" x14ac:dyDescent="0.25">
      <c r="A147" s="27">
        <v>1210</v>
      </c>
      <c r="B147" s="29">
        <v>9908.6</v>
      </c>
      <c r="C147" s="29">
        <v>9139</v>
      </c>
    </row>
    <row r="148" spans="1:3" x14ac:dyDescent="0.25">
      <c r="A148" s="27">
        <v>1211</v>
      </c>
      <c r="B148" s="29">
        <v>9887.7000000000007</v>
      </c>
      <c r="C148" s="29">
        <v>9120</v>
      </c>
    </row>
    <row r="149" spans="1:3" x14ac:dyDescent="0.25">
      <c r="A149" s="27">
        <v>1212</v>
      </c>
      <c r="B149" s="29">
        <v>9866.7999999999993</v>
      </c>
      <c r="C149" s="29">
        <v>9101</v>
      </c>
    </row>
    <row r="150" spans="1:3" x14ac:dyDescent="0.25">
      <c r="A150" s="27">
        <v>1213</v>
      </c>
      <c r="B150" s="29">
        <v>9845.9000000000106</v>
      </c>
      <c r="C150" s="29">
        <v>9082</v>
      </c>
    </row>
    <row r="151" spans="1:3" x14ac:dyDescent="0.25">
      <c r="A151" s="27">
        <v>1214</v>
      </c>
      <c r="B151" s="29">
        <v>9825.0000000000091</v>
      </c>
      <c r="C151" s="29">
        <v>9063</v>
      </c>
    </row>
    <row r="152" spans="1:3" x14ac:dyDescent="0.25">
      <c r="A152" s="27">
        <v>1215</v>
      </c>
      <c r="B152" s="29">
        <v>9804.1000000000095</v>
      </c>
      <c r="C152" s="29">
        <v>9044</v>
      </c>
    </row>
    <row r="153" spans="1:3" x14ac:dyDescent="0.25">
      <c r="A153" s="27">
        <v>1216</v>
      </c>
      <c r="B153" s="29">
        <v>9783.2000000000098</v>
      </c>
      <c r="C153" s="29">
        <v>9025</v>
      </c>
    </row>
    <row r="154" spans="1:3" x14ac:dyDescent="0.25">
      <c r="A154" s="27">
        <v>1217</v>
      </c>
      <c r="B154" s="29">
        <v>9762.3000000000102</v>
      </c>
      <c r="C154" s="29">
        <v>9006</v>
      </c>
    </row>
    <row r="155" spans="1:3" x14ac:dyDescent="0.25">
      <c r="A155" s="27">
        <v>1218</v>
      </c>
      <c r="B155" s="29">
        <v>9741.4000000000106</v>
      </c>
      <c r="C155" s="29">
        <v>8987</v>
      </c>
    </row>
    <row r="156" spans="1:3" x14ac:dyDescent="0.25">
      <c r="A156" s="27">
        <v>1219</v>
      </c>
      <c r="B156" s="29">
        <v>9720.5000000000091</v>
      </c>
      <c r="C156" s="29">
        <v>8968</v>
      </c>
    </row>
    <row r="157" spans="1:3" x14ac:dyDescent="0.25">
      <c r="A157" s="27">
        <v>1220</v>
      </c>
      <c r="B157" s="29">
        <v>9699.6000000000095</v>
      </c>
      <c r="C157" s="29">
        <v>8949</v>
      </c>
    </row>
    <row r="158" spans="1:3" x14ac:dyDescent="0.25">
      <c r="A158" s="27">
        <v>1221</v>
      </c>
      <c r="B158" s="29">
        <v>9678.7000000000098</v>
      </c>
      <c r="C158" s="29">
        <v>8930</v>
      </c>
    </row>
    <row r="159" spans="1:3" x14ac:dyDescent="0.25">
      <c r="A159" s="27">
        <v>1222</v>
      </c>
      <c r="B159" s="29">
        <v>9657.8000000000102</v>
      </c>
      <c r="C159" s="29">
        <v>8911</v>
      </c>
    </row>
    <row r="160" spans="1:3" x14ac:dyDescent="0.25">
      <c r="A160" s="27">
        <v>1223</v>
      </c>
      <c r="B160" s="29">
        <v>9636.9000000000106</v>
      </c>
      <c r="C160" s="29">
        <v>8892</v>
      </c>
    </row>
    <row r="161" spans="1:3" x14ac:dyDescent="0.25">
      <c r="A161" s="27">
        <v>1224</v>
      </c>
      <c r="B161" s="29">
        <v>9616.0000000000091</v>
      </c>
      <c r="C161" s="29">
        <v>8873</v>
      </c>
    </row>
    <row r="162" spans="1:3" x14ac:dyDescent="0.25">
      <c r="A162" s="27">
        <v>1225</v>
      </c>
      <c r="B162" s="29">
        <v>9595.1000000000095</v>
      </c>
      <c r="C162" s="29">
        <v>8854</v>
      </c>
    </row>
    <row r="163" spans="1:3" x14ac:dyDescent="0.25">
      <c r="A163" s="27">
        <v>1226</v>
      </c>
      <c r="B163" s="29">
        <v>9574.2000000000098</v>
      </c>
      <c r="C163" s="29">
        <v>8835</v>
      </c>
    </row>
    <row r="164" spans="1:3" x14ac:dyDescent="0.25">
      <c r="A164" s="27">
        <v>1227</v>
      </c>
      <c r="B164" s="29">
        <v>9553.3000000000102</v>
      </c>
      <c r="C164" s="29">
        <v>8816</v>
      </c>
    </row>
    <row r="165" spans="1:3" x14ac:dyDescent="0.25">
      <c r="A165" s="27">
        <v>1228</v>
      </c>
      <c r="B165" s="29">
        <v>9532.4000000000106</v>
      </c>
      <c r="C165" s="29">
        <v>8797</v>
      </c>
    </row>
    <row r="166" spans="1:3" x14ac:dyDescent="0.25">
      <c r="A166" s="27">
        <v>1229</v>
      </c>
      <c r="B166" s="29">
        <v>9511.5000000000091</v>
      </c>
      <c r="C166" s="29">
        <v>8778</v>
      </c>
    </row>
    <row r="167" spans="1:3" x14ac:dyDescent="0.25">
      <c r="A167" s="27">
        <v>1230</v>
      </c>
      <c r="B167" s="29">
        <v>9490.6000000000095</v>
      </c>
      <c r="C167" s="29">
        <v>8759</v>
      </c>
    </row>
    <row r="168" spans="1:3" x14ac:dyDescent="0.25">
      <c r="A168" s="27">
        <v>1231</v>
      </c>
      <c r="B168" s="29">
        <v>9469.7000000000098</v>
      </c>
      <c r="C168" s="29">
        <v>8740</v>
      </c>
    </row>
    <row r="169" spans="1:3" x14ac:dyDescent="0.25">
      <c r="A169" s="27">
        <v>1232</v>
      </c>
      <c r="B169" s="29">
        <v>9448.8000000000102</v>
      </c>
      <c r="C169" s="29">
        <v>8721</v>
      </c>
    </row>
    <row r="170" spans="1:3" x14ac:dyDescent="0.25">
      <c r="A170" s="27">
        <v>1233</v>
      </c>
      <c r="B170" s="29">
        <v>9427.9000000000106</v>
      </c>
      <c r="C170" s="29">
        <v>8702</v>
      </c>
    </row>
    <row r="171" spans="1:3" x14ac:dyDescent="0.25">
      <c r="A171" s="27">
        <v>1234</v>
      </c>
      <c r="B171" s="29">
        <v>9407.0000000000091</v>
      </c>
      <c r="C171" s="29">
        <v>8683</v>
      </c>
    </row>
    <row r="172" spans="1:3" x14ac:dyDescent="0.25">
      <c r="A172" s="27">
        <v>1235</v>
      </c>
      <c r="B172" s="29">
        <v>9386.1000000000095</v>
      </c>
      <c r="C172" s="29">
        <v>8664</v>
      </c>
    </row>
    <row r="173" spans="1:3" x14ac:dyDescent="0.25">
      <c r="A173" s="27">
        <v>1236</v>
      </c>
      <c r="B173" s="29">
        <v>9365.2000000000098</v>
      </c>
      <c r="C173" s="29">
        <v>8645</v>
      </c>
    </row>
    <row r="174" spans="1:3" x14ac:dyDescent="0.25">
      <c r="A174" s="27">
        <v>1237</v>
      </c>
      <c r="B174" s="29">
        <v>9344.3000000000102</v>
      </c>
      <c r="C174" s="29">
        <v>8626</v>
      </c>
    </row>
    <row r="175" spans="1:3" x14ac:dyDescent="0.25">
      <c r="A175" s="27">
        <v>1238</v>
      </c>
      <c r="B175" s="29">
        <v>9323.4000000000106</v>
      </c>
      <c r="C175" s="29">
        <v>8607</v>
      </c>
    </row>
    <row r="176" spans="1:3" x14ac:dyDescent="0.25">
      <c r="A176" s="27">
        <v>1239</v>
      </c>
      <c r="B176" s="29">
        <v>9302.5000000000091</v>
      </c>
      <c r="C176" s="29">
        <v>8588</v>
      </c>
    </row>
    <row r="177" spans="1:3" x14ac:dyDescent="0.25">
      <c r="A177" s="27">
        <v>1240</v>
      </c>
      <c r="B177" s="29">
        <v>9281.6000000000095</v>
      </c>
      <c r="C177" s="29">
        <v>8569</v>
      </c>
    </row>
    <row r="178" spans="1:3" x14ac:dyDescent="0.25">
      <c r="A178" s="27">
        <v>1241</v>
      </c>
      <c r="B178" s="29">
        <v>9260.7000000000207</v>
      </c>
      <c r="C178" s="29">
        <v>8550</v>
      </c>
    </row>
    <row r="179" spans="1:3" x14ac:dyDescent="0.25">
      <c r="A179" s="27">
        <v>1242</v>
      </c>
      <c r="B179" s="29">
        <v>9239.8000000000193</v>
      </c>
      <c r="C179" s="29">
        <v>8531</v>
      </c>
    </row>
    <row r="180" spans="1:3" x14ac:dyDescent="0.25">
      <c r="A180" s="27">
        <v>1243</v>
      </c>
      <c r="B180" s="29">
        <v>9218.9000000000196</v>
      </c>
      <c r="C180" s="29">
        <v>8512</v>
      </c>
    </row>
    <row r="181" spans="1:3" x14ac:dyDescent="0.25">
      <c r="A181" s="27">
        <v>1244</v>
      </c>
      <c r="B181" s="29">
        <v>9198.00000000002</v>
      </c>
      <c r="C181" s="29">
        <v>8493</v>
      </c>
    </row>
    <row r="182" spans="1:3" x14ac:dyDescent="0.25">
      <c r="A182" s="27">
        <v>1245</v>
      </c>
      <c r="B182" s="29">
        <v>9177.1000000000204</v>
      </c>
      <c r="C182" s="29">
        <v>8474</v>
      </c>
    </row>
    <row r="183" spans="1:3" x14ac:dyDescent="0.25">
      <c r="A183" s="27">
        <v>1246</v>
      </c>
      <c r="B183" s="29">
        <v>9156.2000000000207</v>
      </c>
      <c r="C183" s="29">
        <v>8455</v>
      </c>
    </row>
    <row r="184" spans="1:3" x14ac:dyDescent="0.25">
      <c r="A184" s="27">
        <v>1247</v>
      </c>
      <c r="B184" s="29">
        <v>9135.3000000000193</v>
      </c>
      <c r="C184" s="29">
        <v>8436</v>
      </c>
    </row>
    <row r="185" spans="1:3" x14ac:dyDescent="0.25">
      <c r="A185" s="27">
        <v>1248</v>
      </c>
      <c r="B185" s="29">
        <v>9114.4000000000196</v>
      </c>
      <c r="C185" s="29">
        <v>8417</v>
      </c>
    </row>
    <row r="186" spans="1:3" x14ac:dyDescent="0.25">
      <c r="A186" s="27">
        <v>1249</v>
      </c>
      <c r="B186" s="29">
        <v>9093.50000000002</v>
      </c>
      <c r="C186" s="29">
        <v>8398</v>
      </c>
    </row>
    <row r="187" spans="1:3" x14ac:dyDescent="0.25">
      <c r="A187" s="28">
        <v>1250</v>
      </c>
      <c r="B187" s="28">
        <v>9070.6</v>
      </c>
      <c r="C187" s="28">
        <v>8379</v>
      </c>
    </row>
    <row r="188" spans="1:3" x14ac:dyDescent="0.25">
      <c r="A188" s="27">
        <v>1251</v>
      </c>
      <c r="B188" s="29">
        <v>9049.7800000000007</v>
      </c>
      <c r="C188" s="29">
        <v>8360</v>
      </c>
    </row>
    <row r="189" spans="1:3" x14ac:dyDescent="0.25">
      <c r="A189" s="27">
        <v>1252</v>
      </c>
      <c r="B189" s="29">
        <v>9028.9599999999991</v>
      </c>
      <c r="C189" s="29">
        <v>8341</v>
      </c>
    </row>
    <row r="190" spans="1:3" x14ac:dyDescent="0.25">
      <c r="A190" s="27">
        <v>1253</v>
      </c>
      <c r="B190" s="29">
        <v>9008.14</v>
      </c>
      <c r="C190" s="29">
        <v>8322</v>
      </c>
    </row>
    <row r="191" spans="1:3" x14ac:dyDescent="0.25">
      <c r="A191" s="27">
        <v>1254</v>
      </c>
      <c r="B191" s="29">
        <v>8987.32</v>
      </c>
      <c r="C191" s="29">
        <v>8303</v>
      </c>
    </row>
    <row r="192" spans="1:3" x14ac:dyDescent="0.25">
      <c r="A192" s="27">
        <v>1255</v>
      </c>
      <c r="B192" s="29">
        <v>8966.5</v>
      </c>
      <c r="C192" s="29">
        <v>8284</v>
      </c>
    </row>
    <row r="193" spans="1:3" x14ac:dyDescent="0.25">
      <c r="A193" s="27">
        <v>1256</v>
      </c>
      <c r="B193" s="29">
        <v>8945.68</v>
      </c>
      <c r="C193" s="29">
        <v>8265</v>
      </c>
    </row>
    <row r="194" spans="1:3" x14ac:dyDescent="0.25">
      <c r="A194" s="27">
        <v>1257</v>
      </c>
      <c r="B194" s="29">
        <v>8924.86</v>
      </c>
      <c r="C194" s="29">
        <v>8246</v>
      </c>
    </row>
    <row r="195" spans="1:3" x14ac:dyDescent="0.25">
      <c r="A195" s="27">
        <v>1258</v>
      </c>
      <c r="B195" s="29">
        <v>8904.0400000000009</v>
      </c>
      <c r="C195" s="29">
        <v>8227</v>
      </c>
    </row>
    <row r="196" spans="1:3" x14ac:dyDescent="0.25">
      <c r="A196" s="27">
        <v>1259</v>
      </c>
      <c r="B196" s="29">
        <v>8883.2199999999993</v>
      </c>
      <c r="C196" s="29">
        <v>8208</v>
      </c>
    </row>
    <row r="197" spans="1:3" x14ac:dyDescent="0.25">
      <c r="A197" s="27">
        <v>1260</v>
      </c>
      <c r="B197" s="29">
        <v>8862.4</v>
      </c>
      <c r="C197" s="29">
        <v>8189</v>
      </c>
    </row>
    <row r="198" spans="1:3" x14ac:dyDescent="0.25">
      <c r="A198" s="27">
        <v>1261</v>
      </c>
      <c r="B198" s="29">
        <v>8841.58</v>
      </c>
      <c r="C198" s="29">
        <v>8170</v>
      </c>
    </row>
    <row r="199" spans="1:3" x14ac:dyDescent="0.25">
      <c r="A199" s="27">
        <v>1262</v>
      </c>
      <c r="B199" s="29">
        <v>8820.76</v>
      </c>
      <c r="C199" s="29">
        <v>8151</v>
      </c>
    </row>
    <row r="200" spans="1:3" x14ac:dyDescent="0.25">
      <c r="A200" s="27">
        <v>1263</v>
      </c>
      <c r="B200" s="29">
        <v>8799.94</v>
      </c>
      <c r="C200" s="29">
        <v>8132</v>
      </c>
    </row>
    <row r="201" spans="1:3" x14ac:dyDescent="0.25">
      <c r="A201" s="27">
        <v>1264</v>
      </c>
      <c r="B201" s="29">
        <v>8779.1200000000008</v>
      </c>
      <c r="C201" s="29">
        <v>8113</v>
      </c>
    </row>
    <row r="202" spans="1:3" x14ac:dyDescent="0.25">
      <c r="A202" s="27">
        <v>1265</v>
      </c>
      <c r="B202" s="29">
        <v>8758.2999999999993</v>
      </c>
      <c r="C202" s="29">
        <v>8094</v>
      </c>
    </row>
    <row r="203" spans="1:3" x14ac:dyDescent="0.25">
      <c r="A203" s="27">
        <v>1266</v>
      </c>
      <c r="B203" s="29">
        <v>8737.4800000000105</v>
      </c>
      <c r="C203" s="29">
        <v>8075</v>
      </c>
    </row>
    <row r="204" spans="1:3" x14ac:dyDescent="0.25">
      <c r="A204" s="27">
        <v>1267</v>
      </c>
      <c r="B204" s="29">
        <v>8716.6600000000108</v>
      </c>
      <c r="C204" s="29">
        <v>8056</v>
      </c>
    </row>
    <row r="205" spans="1:3" x14ac:dyDescent="0.25">
      <c r="A205" s="27">
        <v>1268</v>
      </c>
      <c r="B205" s="29">
        <v>8695.8400000000092</v>
      </c>
      <c r="C205" s="29">
        <v>8037</v>
      </c>
    </row>
    <row r="206" spans="1:3" x14ac:dyDescent="0.25">
      <c r="A206" s="27">
        <v>1269</v>
      </c>
      <c r="B206" s="29">
        <v>8675.0200000000095</v>
      </c>
      <c r="C206" s="29">
        <v>8018</v>
      </c>
    </row>
    <row r="207" spans="1:3" x14ac:dyDescent="0.25">
      <c r="A207" s="27">
        <v>1270</v>
      </c>
      <c r="B207" s="29">
        <v>8654.2000000000098</v>
      </c>
      <c r="C207" s="29">
        <v>7999</v>
      </c>
    </row>
    <row r="208" spans="1:3" x14ac:dyDescent="0.25">
      <c r="A208" s="27">
        <v>1271</v>
      </c>
      <c r="B208" s="29">
        <v>8633.3800000000101</v>
      </c>
      <c r="C208" s="29">
        <v>7980</v>
      </c>
    </row>
    <row r="209" spans="1:3" x14ac:dyDescent="0.25">
      <c r="A209" s="27">
        <v>1272</v>
      </c>
      <c r="B209" s="29">
        <v>8612.5600000000104</v>
      </c>
      <c r="C209" s="29">
        <v>7961</v>
      </c>
    </row>
    <row r="210" spans="1:3" x14ac:dyDescent="0.25">
      <c r="A210" s="27">
        <v>1273</v>
      </c>
      <c r="B210" s="29">
        <v>8591.7400000000107</v>
      </c>
      <c r="C210" s="29">
        <v>7942</v>
      </c>
    </row>
    <row r="211" spans="1:3" x14ac:dyDescent="0.25">
      <c r="A211" s="27">
        <v>1274</v>
      </c>
      <c r="B211" s="29">
        <v>8570.9200000000092</v>
      </c>
      <c r="C211" s="29">
        <v>7923</v>
      </c>
    </row>
    <row r="212" spans="1:3" x14ac:dyDescent="0.25">
      <c r="A212" s="27">
        <v>1275</v>
      </c>
      <c r="B212" s="29">
        <v>8550.1000000000095</v>
      </c>
      <c r="C212" s="29">
        <v>7904</v>
      </c>
    </row>
    <row r="213" spans="1:3" x14ac:dyDescent="0.25">
      <c r="A213" s="27">
        <v>1276</v>
      </c>
      <c r="B213" s="29">
        <v>8529.2800000000097</v>
      </c>
      <c r="C213" s="29">
        <v>7885</v>
      </c>
    </row>
    <row r="214" spans="1:3" x14ac:dyDescent="0.25">
      <c r="A214" s="27">
        <v>1277</v>
      </c>
      <c r="B214" s="29">
        <v>8508.46000000001</v>
      </c>
      <c r="C214" s="29">
        <v>7866</v>
      </c>
    </row>
    <row r="215" spans="1:3" x14ac:dyDescent="0.25">
      <c r="A215" s="27">
        <v>1278</v>
      </c>
      <c r="B215" s="29">
        <v>8487.6400000000103</v>
      </c>
      <c r="C215" s="29">
        <v>7847</v>
      </c>
    </row>
    <row r="216" spans="1:3" x14ac:dyDescent="0.25">
      <c r="A216" s="27">
        <v>1279</v>
      </c>
      <c r="B216" s="29">
        <v>8466.8200000000106</v>
      </c>
      <c r="C216" s="29">
        <v>7828</v>
      </c>
    </row>
    <row r="217" spans="1:3" x14ac:dyDescent="0.25">
      <c r="A217" s="27">
        <v>1280</v>
      </c>
      <c r="B217" s="29">
        <v>8446.0000000000091</v>
      </c>
      <c r="C217" s="29">
        <v>7809</v>
      </c>
    </row>
    <row r="218" spans="1:3" x14ac:dyDescent="0.25">
      <c r="A218" s="27">
        <v>1281</v>
      </c>
      <c r="B218" s="29">
        <v>8425.1800000000094</v>
      </c>
      <c r="C218" s="29">
        <v>7790</v>
      </c>
    </row>
    <row r="219" spans="1:3" x14ac:dyDescent="0.25">
      <c r="A219" s="27">
        <v>1282</v>
      </c>
      <c r="B219" s="29">
        <v>8404.3600000000097</v>
      </c>
      <c r="C219" s="29">
        <v>7771</v>
      </c>
    </row>
    <row r="220" spans="1:3" x14ac:dyDescent="0.25">
      <c r="A220" s="27">
        <v>1283</v>
      </c>
      <c r="B220" s="29">
        <v>8383.54000000001</v>
      </c>
      <c r="C220" s="29">
        <v>7752</v>
      </c>
    </row>
    <row r="221" spans="1:3" x14ac:dyDescent="0.25">
      <c r="A221" s="27">
        <v>1284</v>
      </c>
      <c r="B221" s="29">
        <v>8362.7200000000103</v>
      </c>
      <c r="C221" s="29">
        <v>7733</v>
      </c>
    </row>
    <row r="222" spans="1:3" x14ac:dyDescent="0.25">
      <c r="A222" s="27">
        <v>1285</v>
      </c>
      <c r="B222" s="29">
        <v>8341.9000000000106</v>
      </c>
      <c r="C222" s="29">
        <v>7714</v>
      </c>
    </row>
    <row r="223" spans="1:3" x14ac:dyDescent="0.25">
      <c r="A223" s="27">
        <v>1286</v>
      </c>
      <c r="B223" s="29">
        <v>8321.0800000000108</v>
      </c>
      <c r="C223" s="29">
        <v>7695</v>
      </c>
    </row>
    <row r="224" spans="1:3" x14ac:dyDescent="0.25">
      <c r="A224" s="27">
        <v>1287</v>
      </c>
      <c r="B224" s="29">
        <v>8300.2600000000093</v>
      </c>
      <c r="C224" s="29">
        <v>7676</v>
      </c>
    </row>
    <row r="225" spans="1:3" x14ac:dyDescent="0.25">
      <c r="A225" s="27">
        <v>1288</v>
      </c>
      <c r="B225" s="29">
        <v>8279.4400000000096</v>
      </c>
      <c r="C225" s="29">
        <v>7657</v>
      </c>
    </row>
    <row r="226" spans="1:3" x14ac:dyDescent="0.25">
      <c r="A226" s="27">
        <v>1289</v>
      </c>
      <c r="B226" s="29">
        <v>8258.6200000000099</v>
      </c>
      <c r="C226" s="29">
        <v>7638</v>
      </c>
    </row>
    <row r="227" spans="1:3" x14ac:dyDescent="0.25">
      <c r="A227" s="27">
        <v>1290</v>
      </c>
      <c r="B227" s="29">
        <v>8237.8000000000102</v>
      </c>
      <c r="C227" s="29">
        <v>7619</v>
      </c>
    </row>
    <row r="228" spans="1:3" x14ac:dyDescent="0.25">
      <c r="A228" s="27">
        <v>1291</v>
      </c>
      <c r="B228" s="29">
        <v>8216.9800000000105</v>
      </c>
      <c r="C228" s="29">
        <v>7600</v>
      </c>
    </row>
    <row r="229" spans="1:3" x14ac:dyDescent="0.25">
      <c r="A229" s="27">
        <v>1292</v>
      </c>
      <c r="B229" s="29">
        <v>8196.1600000000108</v>
      </c>
      <c r="C229" s="29">
        <v>7581</v>
      </c>
    </row>
    <row r="230" spans="1:3" x14ac:dyDescent="0.25">
      <c r="A230" s="27">
        <v>1293</v>
      </c>
      <c r="B230" s="29">
        <v>8175.3400000000101</v>
      </c>
      <c r="C230" s="29">
        <v>7562</v>
      </c>
    </row>
    <row r="231" spans="1:3" x14ac:dyDescent="0.25">
      <c r="A231" s="27">
        <v>1294</v>
      </c>
      <c r="B231" s="29">
        <v>8154.5200000000104</v>
      </c>
      <c r="C231" s="29">
        <v>7543</v>
      </c>
    </row>
    <row r="232" spans="1:3" x14ac:dyDescent="0.25">
      <c r="A232" s="27">
        <v>1295</v>
      </c>
      <c r="B232" s="29">
        <v>8133.7000000000098</v>
      </c>
      <c r="C232" s="29">
        <v>7524</v>
      </c>
    </row>
    <row r="233" spans="1:3" x14ac:dyDescent="0.25">
      <c r="A233" s="27">
        <v>1296</v>
      </c>
      <c r="B233" s="29">
        <v>8112.8800000000101</v>
      </c>
      <c r="C233" s="29">
        <v>7505</v>
      </c>
    </row>
    <row r="234" spans="1:3" x14ac:dyDescent="0.25">
      <c r="A234" s="27">
        <v>1297</v>
      </c>
      <c r="B234" s="29">
        <v>8092.0600000000104</v>
      </c>
      <c r="C234" s="29">
        <v>7486</v>
      </c>
    </row>
    <row r="235" spans="1:3" x14ac:dyDescent="0.25">
      <c r="A235" s="27">
        <v>1298</v>
      </c>
      <c r="B235" s="29">
        <v>8071.2400000000098</v>
      </c>
      <c r="C235" s="29">
        <v>7467</v>
      </c>
    </row>
    <row r="236" spans="1:3" x14ac:dyDescent="0.25">
      <c r="A236" s="27">
        <v>1299</v>
      </c>
      <c r="B236" s="29">
        <v>8050.4200000000101</v>
      </c>
      <c r="C236" s="29">
        <v>7448</v>
      </c>
    </row>
    <row r="237" spans="1:3" x14ac:dyDescent="0.25">
      <c r="A237" s="28">
        <v>1300</v>
      </c>
      <c r="B237" s="28">
        <v>8029.4</v>
      </c>
      <c r="C237" s="28">
        <v>7429</v>
      </c>
    </row>
    <row r="238" spans="1:3" x14ac:dyDescent="0.25">
      <c r="A238" s="27">
        <v>1301</v>
      </c>
      <c r="B238" s="29">
        <v>8009.79</v>
      </c>
      <c r="C238" s="29">
        <v>7405.71</v>
      </c>
    </row>
    <row r="239" spans="1:3" x14ac:dyDescent="0.25">
      <c r="A239" s="27">
        <v>1302</v>
      </c>
      <c r="B239" s="29">
        <v>7990.18</v>
      </c>
      <c r="C239" s="29">
        <v>7382.42</v>
      </c>
    </row>
    <row r="240" spans="1:3" x14ac:dyDescent="0.25">
      <c r="A240" s="27">
        <v>1303</v>
      </c>
      <c r="B240" s="29">
        <v>7970.57</v>
      </c>
      <c r="C240" s="29">
        <v>7359.13</v>
      </c>
    </row>
    <row r="241" spans="1:3" x14ac:dyDescent="0.25">
      <c r="A241" s="27">
        <v>1304</v>
      </c>
      <c r="B241" s="29">
        <v>7950.96</v>
      </c>
      <c r="C241" s="29">
        <v>7335.84</v>
      </c>
    </row>
    <row r="242" spans="1:3" x14ac:dyDescent="0.25">
      <c r="A242" s="27">
        <v>1305</v>
      </c>
      <c r="B242" s="29">
        <v>7931.35</v>
      </c>
      <c r="C242" s="29">
        <v>7312.55</v>
      </c>
    </row>
    <row r="243" spans="1:3" x14ac:dyDescent="0.25">
      <c r="A243" s="27">
        <v>1306</v>
      </c>
      <c r="B243" s="29">
        <v>7911.74</v>
      </c>
      <c r="C243" s="29">
        <v>7289.26</v>
      </c>
    </row>
    <row r="244" spans="1:3" x14ac:dyDescent="0.25">
      <c r="A244" s="27">
        <v>1307</v>
      </c>
      <c r="B244" s="29">
        <v>7892.13</v>
      </c>
      <c r="C244" s="29">
        <v>7265.97</v>
      </c>
    </row>
    <row r="245" spans="1:3" x14ac:dyDescent="0.25">
      <c r="A245" s="27">
        <v>1308</v>
      </c>
      <c r="B245" s="29">
        <v>7872.52</v>
      </c>
      <c r="C245" s="29">
        <v>7242.68</v>
      </c>
    </row>
    <row r="246" spans="1:3" x14ac:dyDescent="0.25">
      <c r="A246" s="27">
        <v>1309</v>
      </c>
      <c r="B246" s="29">
        <v>7852.91</v>
      </c>
      <c r="C246" s="29">
        <v>7219.39</v>
      </c>
    </row>
    <row r="247" spans="1:3" x14ac:dyDescent="0.25">
      <c r="A247" s="27">
        <v>1310</v>
      </c>
      <c r="B247" s="29">
        <v>7833.3</v>
      </c>
      <c r="C247" s="29">
        <v>7196.1</v>
      </c>
    </row>
    <row r="248" spans="1:3" x14ac:dyDescent="0.25">
      <c r="A248" s="27">
        <v>1311</v>
      </c>
      <c r="B248" s="29">
        <v>7813.69</v>
      </c>
      <c r="C248" s="29">
        <v>7172.81</v>
      </c>
    </row>
    <row r="249" spans="1:3" x14ac:dyDescent="0.25">
      <c r="A249" s="27">
        <v>1312</v>
      </c>
      <c r="B249" s="29">
        <v>7794.08</v>
      </c>
      <c r="C249" s="29">
        <v>7149.52</v>
      </c>
    </row>
    <row r="250" spans="1:3" x14ac:dyDescent="0.25">
      <c r="A250" s="27">
        <v>1313</v>
      </c>
      <c r="B250" s="29">
        <v>7774.47</v>
      </c>
      <c r="C250" s="29">
        <v>7126.23</v>
      </c>
    </row>
    <row r="251" spans="1:3" x14ac:dyDescent="0.25">
      <c r="A251" s="27">
        <v>1314</v>
      </c>
      <c r="B251" s="29">
        <v>7754.86</v>
      </c>
      <c r="C251" s="29">
        <v>7102.94</v>
      </c>
    </row>
    <row r="252" spans="1:3" x14ac:dyDescent="0.25">
      <c r="A252" s="27">
        <v>1315</v>
      </c>
      <c r="B252" s="29">
        <v>7735.25</v>
      </c>
      <c r="C252" s="29">
        <v>7079.65</v>
      </c>
    </row>
    <row r="253" spans="1:3" x14ac:dyDescent="0.25">
      <c r="A253" s="27">
        <v>1316</v>
      </c>
      <c r="B253" s="29">
        <v>7715.64</v>
      </c>
      <c r="C253" s="29">
        <v>7056.36</v>
      </c>
    </row>
    <row r="254" spans="1:3" x14ac:dyDescent="0.25">
      <c r="A254" s="27">
        <v>1317</v>
      </c>
      <c r="B254" s="29">
        <v>7696.0300000000097</v>
      </c>
      <c r="C254" s="29">
        <v>7033.07</v>
      </c>
    </row>
    <row r="255" spans="1:3" x14ac:dyDescent="0.25">
      <c r="A255" s="27">
        <v>1318</v>
      </c>
      <c r="B255" s="29">
        <v>7676.4200000000101</v>
      </c>
      <c r="C255" s="29">
        <v>7009.78</v>
      </c>
    </row>
    <row r="256" spans="1:3" x14ac:dyDescent="0.25">
      <c r="A256" s="27">
        <v>1319</v>
      </c>
      <c r="B256" s="29">
        <v>7656.8100000000104</v>
      </c>
      <c r="C256" s="29">
        <v>6986.49</v>
      </c>
    </row>
    <row r="257" spans="1:3" x14ac:dyDescent="0.25">
      <c r="A257" s="27">
        <v>1320</v>
      </c>
      <c r="B257" s="29">
        <v>7637.2000000000098</v>
      </c>
      <c r="C257" s="29">
        <v>6963.2</v>
      </c>
    </row>
    <row r="258" spans="1:3" x14ac:dyDescent="0.25">
      <c r="A258" s="27">
        <v>1321</v>
      </c>
      <c r="B258" s="29">
        <v>7617.5900000000101</v>
      </c>
      <c r="C258" s="29">
        <v>6939.91</v>
      </c>
    </row>
    <row r="259" spans="1:3" x14ac:dyDescent="0.25">
      <c r="A259" s="27">
        <v>1322</v>
      </c>
      <c r="B259" s="29">
        <v>7597.9800000000096</v>
      </c>
      <c r="C259" s="29">
        <v>6916.62</v>
      </c>
    </row>
    <row r="260" spans="1:3" x14ac:dyDescent="0.25">
      <c r="A260" s="27">
        <v>1323</v>
      </c>
      <c r="B260" s="29">
        <v>7578.3700000000099</v>
      </c>
      <c r="C260" s="29">
        <v>6893.33</v>
      </c>
    </row>
    <row r="261" spans="1:3" x14ac:dyDescent="0.25">
      <c r="A261" s="27">
        <v>1324</v>
      </c>
      <c r="B261" s="29">
        <v>7558.7600000000102</v>
      </c>
      <c r="C261" s="29">
        <v>6870.04</v>
      </c>
    </row>
    <row r="262" spans="1:3" x14ac:dyDescent="0.25">
      <c r="A262" s="27">
        <v>1325</v>
      </c>
      <c r="B262" s="29">
        <v>7539.1500000000096</v>
      </c>
      <c r="C262" s="29">
        <v>6846.75</v>
      </c>
    </row>
    <row r="263" spans="1:3" x14ac:dyDescent="0.25">
      <c r="A263" s="27">
        <v>1326</v>
      </c>
      <c r="B263" s="29">
        <v>7519.54000000001</v>
      </c>
      <c r="C263" s="29">
        <v>6823.46</v>
      </c>
    </row>
    <row r="264" spans="1:3" x14ac:dyDescent="0.25">
      <c r="A264" s="27">
        <v>1327</v>
      </c>
      <c r="B264" s="29">
        <v>7499.9300000000103</v>
      </c>
      <c r="C264" s="29">
        <v>6800.17</v>
      </c>
    </row>
    <row r="265" spans="1:3" x14ac:dyDescent="0.25">
      <c r="A265" s="27">
        <v>1328</v>
      </c>
      <c r="B265" s="29">
        <v>7480.3200000000097</v>
      </c>
      <c r="C265" s="29">
        <v>6776.88</v>
      </c>
    </row>
    <row r="266" spans="1:3" x14ac:dyDescent="0.25">
      <c r="A266" s="27">
        <v>1329</v>
      </c>
      <c r="B266" s="29">
        <v>7460.71000000001</v>
      </c>
      <c r="C266" s="29">
        <v>6753.59</v>
      </c>
    </row>
    <row r="267" spans="1:3" x14ac:dyDescent="0.25">
      <c r="A267" s="27">
        <v>1330</v>
      </c>
      <c r="B267" s="29">
        <v>7441.1000000000104</v>
      </c>
      <c r="C267" s="29">
        <v>6730.3</v>
      </c>
    </row>
    <row r="268" spans="1:3" x14ac:dyDescent="0.25">
      <c r="A268" s="27">
        <v>1331</v>
      </c>
      <c r="B268" s="29">
        <v>7421.4900000000098</v>
      </c>
      <c r="C268" s="29">
        <v>6707.01</v>
      </c>
    </row>
    <row r="269" spans="1:3" x14ac:dyDescent="0.25">
      <c r="A269" s="27">
        <v>1332</v>
      </c>
      <c r="B269" s="29">
        <v>7401.8800000000101</v>
      </c>
      <c r="C269" s="29">
        <v>6683.72</v>
      </c>
    </row>
    <row r="270" spans="1:3" x14ac:dyDescent="0.25">
      <c r="A270" s="27">
        <v>1333</v>
      </c>
      <c r="B270" s="29">
        <v>7382.2700000000104</v>
      </c>
      <c r="C270" s="29">
        <v>6660.43</v>
      </c>
    </row>
    <row r="271" spans="1:3" x14ac:dyDescent="0.25">
      <c r="A271" s="27">
        <v>1334</v>
      </c>
      <c r="B271" s="29">
        <v>7362.6600000000099</v>
      </c>
      <c r="C271" s="29">
        <v>6637.14</v>
      </c>
    </row>
    <row r="272" spans="1:3" x14ac:dyDescent="0.25">
      <c r="A272" s="27">
        <v>1335</v>
      </c>
      <c r="B272" s="29">
        <v>7343.0500000000102</v>
      </c>
      <c r="C272" s="29">
        <v>6613.85</v>
      </c>
    </row>
    <row r="273" spans="1:3" x14ac:dyDescent="0.25">
      <c r="A273" s="27">
        <v>1336</v>
      </c>
      <c r="B273" s="29">
        <v>7323.4400000000096</v>
      </c>
      <c r="C273" s="29">
        <v>6590.56</v>
      </c>
    </row>
    <row r="274" spans="1:3" x14ac:dyDescent="0.25">
      <c r="A274" s="27">
        <v>1337</v>
      </c>
      <c r="B274" s="29">
        <v>7303.8300000000099</v>
      </c>
      <c r="C274" s="29">
        <v>6567.27</v>
      </c>
    </row>
    <row r="275" spans="1:3" x14ac:dyDescent="0.25">
      <c r="A275" s="27">
        <v>1338</v>
      </c>
      <c r="B275" s="29">
        <v>7284.2200000000103</v>
      </c>
      <c r="C275" s="29">
        <v>6543.98</v>
      </c>
    </row>
    <row r="276" spans="1:3" x14ac:dyDescent="0.25">
      <c r="A276" s="27">
        <v>1339</v>
      </c>
      <c r="B276" s="29">
        <v>7264.6100000000097</v>
      </c>
      <c r="C276" s="29">
        <v>6520.69</v>
      </c>
    </row>
    <row r="277" spans="1:3" x14ac:dyDescent="0.25">
      <c r="A277" s="27">
        <v>1340</v>
      </c>
      <c r="B277" s="29">
        <v>7245.00000000001</v>
      </c>
      <c r="C277" s="29">
        <v>6497.4</v>
      </c>
    </row>
    <row r="278" spans="1:3" x14ac:dyDescent="0.25">
      <c r="A278" s="27">
        <v>1341</v>
      </c>
      <c r="B278" s="29">
        <v>7225.3900000000103</v>
      </c>
      <c r="C278" s="29">
        <v>6474.11</v>
      </c>
    </row>
    <row r="279" spans="1:3" x14ac:dyDescent="0.25">
      <c r="A279" s="27">
        <v>1342</v>
      </c>
      <c r="B279" s="29">
        <v>7205.7800000000097</v>
      </c>
      <c r="C279" s="29">
        <v>6450.82</v>
      </c>
    </row>
    <row r="280" spans="1:3" x14ac:dyDescent="0.25">
      <c r="A280" s="27">
        <v>1343</v>
      </c>
      <c r="B280" s="29">
        <v>7186.1700000000101</v>
      </c>
      <c r="C280" s="29">
        <v>6427.53</v>
      </c>
    </row>
    <row r="281" spans="1:3" x14ac:dyDescent="0.25">
      <c r="A281" s="27">
        <v>1344</v>
      </c>
      <c r="B281" s="29">
        <v>7166.5600000000104</v>
      </c>
      <c r="C281" s="29">
        <v>6404.24</v>
      </c>
    </row>
    <row r="282" spans="1:3" x14ac:dyDescent="0.25">
      <c r="A282" s="28">
        <v>1345</v>
      </c>
      <c r="B282" s="28">
        <v>7147.1</v>
      </c>
      <c r="C282" s="28">
        <v>6381</v>
      </c>
    </row>
    <row r="283" spans="1:3" ht="15" customHeight="1" x14ac:dyDescent="0.25">
      <c r="A283" s="27">
        <v>1346</v>
      </c>
      <c r="B283" s="29">
        <v>7070.62</v>
      </c>
      <c r="C283" s="29">
        <v>6309.2</v>
      </c>
    </row>
    <row r="284" spans="1:3" x14ac:dyDescent="0.25">
      <c r="A284" s="27">
        <v>1347</v>
      </c>
      <c r="B284" s="29">
        <v>6994.14</v>
      </c>
      <c r="C284" s="29">
        <v>6237.4</v>
      </c>
    </row>
    <row r="285" spans="1:3" x14ac:dyDescent="0.25">
      <c r="A285" s="27">
        <v>1348</v>
      </c>
      <c r="B285" s="29">
        <v>6917.66</v>
      </c>
      <c r="C285" s="29">
        <v>6165.6</v>
      </c>
    </row>
    <row r="286" spans="1:3" x14ac:dyDescent="0.25">
      <c r="A286" s="27">
        <v>1349</v>
      </c>
      <c r="B286" s="29">
        <v>6841.18</v>
      </c>
      <c r="C286" s="29">
        <v>6093.8</v>
      </c>
    </row>
    <row r="287" spans="1:3" x14ac:dyDescent="0.25">
      <c r="A287" s="28">
        <v>1350</v>
      </c>
      <c r="B287" s="28">
        <v>6764.7</v>
      </c>
      <c r="C287" s="28">
        <v>6022</v>
      </c>
    </row>
    <row r="288" spans="1:3" x14ac:dyDescent="0.25">
      <c r="A288" s="27">
        <v>1351</v>
      </c>
      <c r="B288" s="29">
        <v>6681.76</v>
      </c>
      <c r="C288" s="29">
        <v>5950.1</v>
      </c>
    </row>
    <row r="289" spans="1:3" x14ac:dyDescent="0.25">
      <c r="A289" s="27">
        <v>1352</v>
      </c>
      <c r="B289" s="29">
        <v>6598.82</v>
      </c>
      <c r="C289" s="29">
        <v>5878.2</v>
      </c>
    </row>
    <row r="290" spans="1:3" x14ac:dyDescent="0.25">
      <c r="A290" s="27">
        <v>1353</v>
      </c>
      <c r="B290" s="29">
        <v>6515.88</v>
      </c>
      <c r="C290" s="29">
        <v>5806.3</v>
      </c>
    </row>
    <row r="291" spans="1:3" x14ac:dyDescent="0.25">
      <c r="A291" s="27">
        <v>1354</v>
      </c>
      <c r="B291" s="29">
        <v>6432.94</v>
      </c>
      <c r="C291" s="29">
        <v>5734.4</v>
      </c>
    </row>
    <row r="292" spans="1:3" x14ac:dyDescent="0.25">
      <c r="A292" s="27">
        <v>1355</v>
      </c>
      <c r="B292" s="29">
        <v>6350</v>
      </c>
      <c r="C292" s="29">
        <v>5662.5</v>
      </c>
    </row>
    <row r="293" spans="1:3" x14ac:dyDescent="0.25">
      <c r="A293" s="27">
        <v>1356</v>
      </c>
      <c r="B293" s="29">
        <v>6267.06</v>
      </c>
      <c r="C293" s="29">
        <v>5590.6</v>
      </c>
    </row>
    <row r="294" spans="1:3" x14ac:dyDescent="0.25">
      <c r="A294" s="27">
        <v>1357</v>
      </c>
      <c r="B294" s="29">
        <v>6184.12</v>
      </c>
      <c r="C294" s="29">
        <v>5518.7</v>
      </c>
    </row>
    <row r="295" spans="1:3" x14ac:dyDescent="0.25">
      <c r="A295" s="27">
        <v>1358</v>
      </c>
      <c r="B295" s="29">
        <v>6101.18</v>
      </c>
      <c r="C295" s="29">
        <v>5446.8</v>
      </c>
    </row>
    <row r="296" spans="1:3" x14ac:dyDescent="0.25">
      <c r="A296" s="27">
        <v>1359</v>
      </c>
      <c r="B296" s="29">
        <v>6018.24</v>
      </c>
      <c r="C296" s="29">
        <v>5374.9</v>
      </c>
    </row>
    <row r="297" spans="1:3" x14ac:dyDescent="0.25">
      <c r="A297" s="27">
        <v>1360</v>
      </c>
      <c r="B297" s="29">
        <v>5935.3</v>
      </c>
      <c r="C297" s="29">
        <v>5303</v>
      </c>
    </row>
    <row r="298" spans="1:3" x14ac:dyDescent="0.25">
      <c r="A298" s="27">
        <v>1361</v>
      </c>
      <c r="B298" s="29">
        <v>5852.36</v>
      </c>
      <c r="C298" s="29">
        <v>5231.1000000000004</v>
      </c>
    </row>
    <row r="299" spans="1:3" x14ac:dyDescent="0.25">
      <c r="A299" s="27">
        <v>1362</v>
      </c>
      <c r="B299" s="29">
        <v>5769.42</v>
      </c>
      <c r="C299" s="29">
        <v>5159.2</v>
      </c>
    </row>
    <row r="300" spans="1:3" x14ac:dyDescent="0.25">
      <c r="A300" s="27">
        <v>1363</v>
      </c>
      <c r="B300" s="29">
        <v>5686.4800000000096</v>
      </c>
      <c r="C300" s="29">
        <v>5087.3</v>
      </c>
    </row>
    <row r="301" spans="1:3" x14ac:dyDescent="0.25">
      <c r="A301" s="27">
        <v>1364</v>
      </c>
      <c r="B301" s="29">
        <v>5603.54000000001</v>
      </c>
      <c r="C301" s="29">
        <v>5015.4000000000096</v>
      </c>
    </row>
    <row r="302" spans="1:3" x14ac:dyDescent="0.25">
      <c r="A302" s="27">
        <v>1365</v>
      </c>
      <c r="B302" s="29">
        <v>5520.6000000000104</v>
      </c>
      <c r="C302" s="29">
        <v>4943.50000000001</v>
      </c>
    </row>
    <row r="303" spans="1:3" x14ac:dyDescent="0.25">
      <c r="A303" s="27">
        <v>1366</v>
      </c>
      <c r="B303" s="29">
        <v>5437.6600000000099</v>
      </c>
      <c r="C303" s="29">
        <v>4871.6000000000104</v>
      </c>
    </row>
    <row r="304" spans="1:3" x14ac:dyDescent="0.25">
      <c r="A304" s="27">
        <v>1367</v>
      </c>
      <c r="B304" s="29">
        <v>5354.7200000000103</v>
      </c>
      <c r="C304" s="29">
        <v>4799.7000000000098</v>
      </c>
    </row>
    <row r="305" spans="1:3" x14ac:dyDescent="0.25">
      <c r="A305" s="27">
        <v>1368</v>
      </c>
      <c r="B305" s="29">
        <v>5271.7800000000097</v>
      </c>
      <c r="C305" s="29">
        <v>4727.8000000000102</v>
      </c>
    </row>
    <row r="306" spans="1:3" x14ac:dyDescent="0.25">
      <c r="A306" s="27">
        <v>1369</v>
      </c>
      <c r="B306" s="29">
        <v>5188.8400000000101</v>
      </c>
      <c r="C306" s="29">
        <v>4655.9000000000096</v>
      </c>
    </row>
    <row r="307" spans="1:3" x14ac:dyDescent="0.25">
      <c r="A307" s="28">
        <v>1370</v>
      </c>
      <c r="B307" s="28">
        <v>5105.8</v>
      </c>
      <c r="C307" s="28">
        <v>4584</v>
      </c>
    </row>
  </sheetData>
  <sheetProtection algorithmName="SHA-512" hashValue="rror1lspXnMrLIydAHdk7/cbuDNv7gPqCBDND33SqzflNVrDM3VCLyrcsP+DANSJUtufeLjt0NV04oxNDmqJYg==" saltValue="eq01eHmf2vkqNx7mB/7pYw==" spinCount="100000" sheet="1" objects="1" scenarios="1" selectLockedCells="1" selectUnlockedCells="1"/>
  <mergeCells count="219">
    <mergeCell ref="E74:E75"/>
    <mergeCell ref="I74:L74"/>
    <mergeCell ref="E76:E78"/>
    <mergeCell ref="I76:L76"/>
    <mergeCell ref="I77:L77"/>
    <mergeCell ref="O69:P69"/>
    <mergeCell ref="E71:F71"/>
    <mergeCell ref="G71:H71"/>
    <mergeCell ref="I71:J71"/>
    <mergeCell ref="K71:L71"/>
    <mergeCell ref="M71:N71"/>
    <mergeCell ref="O71:P71"/>
    <mergeCell ref="E69:F69"/>
    <mergeCell ref="G69:H69"/>
    <mergeCell ref="I69:J69"/>
    <mergeCell ref="K69:L69"/>
    <mergeCell ref="M69:N69"/>
    <mergeCell ref="E57:P58"/>
    <mergeCell ref="F61:G61"/>
    <mergeCell ref="M61:N61"/>
    <mergeCell ref="F62:G62"/>
    <mergeCell ref="I62:J62"/>
    <mergeCell ref="M62:N62"/>
    <mergeCell ref="E64:H64"/>
    <mergeCell ref="L64:O64"/>
    <mergeCell ref="E68:F68"/>
    <mergeCell ref="G68:H68"/>
    <mergeCell ref="I68:J68"/>
    <mergeCell ref="K68:L68"/>
    <mergeCell ref="M68:N68"/>
    <mergeCell ref="O68:P68"/>
    <mergeCell ref="O17:P17"/>
    <mergeCell ref="M17:N17"/>
    <mergeCell ref="K17:L17"/>
    <mergeCell ref="O19:P19"/>
    <mergeCell ref="M19:N19"/>
    <mergeCell ref="K19:L19"/>
    <mergeCell ref="A1:C1"/>
    <mergeCell ref="I17:J17"/>
    <mergeCell ref="G17:H17"/>
    <mergeCell ref="E17:F17"/>
    <mergeCell ref="E5:P6"/>
    <mergeCell ref="F10:G10"/>
    <mergeCell ref="I10:J10"/>
    <mergeCell ref="M10:N10"/>
    <mergeCell ref="M9:N9"/>
    <mergeCell ref="I16:J16"/>
    <mergeCell ref="F9:G9"/>
    <mergeCell ref="L12:O12"/>
    <mergeCell ref="O16:P16"/>
    <mergeCell ref="M16:N16"/>
    <mergeCell ref="G16:H16"/>
    <mergeCell ref="E16:F16"/>
    <mergeCell ref="E1:L1"/>
    <mergeCell ref="I25:L25"/>
    <mergeCell ref="I24:L24"/>
    <mergeCell ref="I22:L22"/>
    <mergeCell ref="E12:H12"/>
    <mergeCell ref="I19:J19"/>
    <mergeCell ref="G19:H19"/>
    <mergeCell ref="E19:F19"/>
    <mergeCell ref="K16:L16"/>
    <mergeCell ref="E22:E23"/>
    <mergeCell ref="E24:E26"/>
    <mergeCell ref="W64:Z64"/>
    <mergeCell ref="AD64:AG64"/>
    <mergeCell ref="W68:X68"/>
    <mergeCell ref="Y68:Z68"/>
    <mergeCell ref="AA68:AB68"/>
    <mergeCell ref="AC68:AD68"/>
    <mergeCell ref="AE68:AF68"/>
    <mergeCell ref="AG68:AH68"/>
    <mergeCell ref="W57:AH58"/>
    <mergeCell ref="X61:Y61"/>
    <mergeCell ref="AE61:AF61"/>
    <mergeCell ref="X62:Y62"/>
    <mergeCell ref="AA62:AB62"/>
    <mergeCell ref="AE62:AF62"/>
    <mergeCell ref="W74:W75"/>
    <mergeCell ref="AA74:AD74"/>
    <mergeCell ref="W76:W78"/>
    <mergeCell ref="AA76:AD76"/>
    <mergeCell ref="AA77:AD77"/>
    <mergeCell ref="AG69:AH69"/>
    <mergeCell ref="W71:X71"/>
    <mergeCell ref="Y71:Z71"/>
    <mergeCell ref="AA71:AB71"/>
    <mergeCell ref="AC71:AD71"/>
    <mergeCell ref="AE71:AF71"/>
    <mergeCell ref="AG71:AH71"/>
    <mergeCell ref="W69:X69"/>
    <mergeCell ref="Y69:Z69"/>
    <mergeCell ref="AA69:AB69"/>
    <mergeCell ref="AC69:AD69"/>
    <mergeCell ref="AE69:AF69"/>
    <mergeCell ref="AO64:AR64"/>
    <mergeCell ref="AV64:AY64"/>
    <mergeCell ref="AO68:AP68"/>
    <mergeCell ref="AQ68:AR68"/>
    <mergeCell ref="AS68:AT68"/>
    <mergeCell ref="AU68:AV68"/>
    <mergeCell ref="AW68:AX68"/>
    <mergeCell ref="AY68:AZ68"/>
    <mergeCell ref="AO57:AZ58"/>
    <mergeCell ref="AP61:AQ61"/>
    <mergeCell ref="AW61:AX61"/>
    <mergeCell ref="AP62:AQ62"/>
    <mergeCell ref="AS62:AT62"/>
    <mergeCell ref="AW62:AX62"/>
    <mergeCell ref="AO74:AO75"/>
    <mergeCell ref="AS74:AV74"/>
    <mergeCell ref="AO76:AO78"/>
    <mergeCell ref="AS76:AV76"/>
    <mergeCell ref="AS77:AV77"/>
    <mergeCell ref="AY69:AZ69"/>
    <mergeCell ref="AO71:AP71"/>
    <mergeCell ref="AQ71:AR71"/>
    <mergeCell ref="AS71:AT71"/>
    <mergeCell ref="AU71:AV71"/>
    <mergeCell ref="AW71:AX71"/>
    <mergeCell ref="AY71:AZ71"/>
    <mergeCell ref="AO69:AP69"/>
    <mergeCell ref="AQ69:AR69"/>
    <mergeCell ref="AS69:AT69"/>
    <mergeCell ref="AU69:AV69"/>
    <mergeCell ref="AW69:AX69"/>
    <mergeCell ref="BH64:BK64"/>
    <mergeCell ref="BO64:BR64"/>
    <mergeCell ref="BH68:BI68"/>
    <mergeCell ref="BJ68:BK68"/>
    <mergeCell ref="BL68:BM68"/>
    <mergeCell ref="BN68:BO68"/>
    <mergeCell ref="BP68:BQ68"/>
    <mergeCell ref="BR68:BS68"/>
    <mergeCell ref="BH57:BS58"/>
    <mergeCell ref="BI61:BJ61"/>
    <mergeCell ref="BP61:BQ61"/>
    <mergeCell ref="BI62:BJ62"/>
    <mergeCell ref="BL62:BM62"/>
    <mergeCell ref="BP62:BQ62"/>
    <mergeCell ref="BH74:BH75"/>
    <mergeCell ref="BL74:BO74"/>
    <mergeCell ref="BH76:BH78"/>
    <mergeCell ref="BL76:BO76"/>
    <mergeCell ref="BL77:BO77"/>
    <mergeCell ref="BR69:BS69"/>
    <mergeCell ref="BH71:BI71"/>
    <mergeCell ref="BJ71:BK71"/>
    <mergeCell ref="BL71:BM71"/>
    <mergeCell ref="BN71:BO71"/>
    <mergeCell ref="BP71:BQ71"/>
    <mergeCell ref="BR71:BS71"/>
    <mergeCell ref="BH69:BI69"/>
    <mergeCell ref="BJ69:BK69"/>
    <mergeCell ref="BL69:BM69"/>
    <mergeCell ref="BN69:BO69"/>
    <mergeCell ref="BP69:BQ69"/>
    <mergeCell ref="BZ64:CC64"/>
    <mergeCell ref="CG64:CJ64"/>
    <mergeCell ref="BZ68:CA68"/>
    <mergeCell ref="CB68:CC68"/>
    <mergeCell ref="CD68:CE68"/>
    <mergeCell ref="CF68:CG68"/>
    <mergeCell ref="CH68:CI68"/>
    <mergeCell ref="CJ68:CK68"/>
    <mergeCell ref="BZ57:CK58"/>
    <mergeCell ref="CA61:CB61"/>
    <mergeCell ref="CH61:CI61"/>
    <mergeCell ref="CA62:CB62"/>
    <mergeCell ref="CD62:CE62"/>
    <mergeCell ref="CH62:CI62"/>
    <mergeCell ref="BZ74:BZ75"/>
    <mergeCell ref="CD74:CG74"/>
    <mergeCell ref="BZ76:BZ78"/>
    <mergeCell ref="CD76:CG76"/>
    <mergeCell ref="CD77:CG77"/>
    <mergeCell ref="CJ69:CK69"/>
    <mergeCell ref="BZ71:CA71"/>
    <mergeCell ref="CB71:CC71"/>
    <mergeCell ref="CD71:CE71"/>
    <mergeCell ref="CF71:CG71"/>
    <mergeCell ref="CH71:CI71"/>
    <mergeCell ref="CJ71:CK71"/>
    <mergeCell ref="BZ69:CA69"/>
    <mergeCell ref="CB69:CC69"/>
    <mergeCell ref="CD69:CE69"/>
    <mergeCell ref="CF69:CG69"/>
    <mergeCell ref="CH69:CI69"/>
    <mergeCell ref="CR64:CU64"/>
    <mergeCell ref="CY64:DB64"/>
    <mergeCell ref="CR68:CS68"/>
    <mergeCell ref="CT68:CU68"/>
    <mergeCell ref="CV68:CW68"/>
    <mergeCell ref="CX68:CY68"/>
    <mergeCell ref="CZ68:DA68"/>
    <mergeCell ref="DB68:DC68"/>
    <mergeCell ref="CR57:DC58"/>
    <mergeCell ref="CS61:CT61"/>
    <mergeCell ref="CZ61:DA61"/>
    <mergeCell ref="CS62:CT62"/>
    <mergeCell ref="CV62:CW62"/>
    <mergeCell ref="CZ62:DA62"/>
    <mergeCell ref="CR74:CR75"/>
    <mergeCell ref="CV74:CY74"/>
    <mergeCell ref="CR76:CR78"/>
    <mergeCell ref="CV76:CY76"/>
    <mergeCell ref="CV77:CY77"/>
    <mergeCell ref="DB69:DC69"/>
    <mergeCell ref="CR71:CS71"/>
    <mergeCell ref="CT71:CU71"/>
    <mergeCell ref="CV71:CW71"/>
    <mergeCell ref="CX71:CY71"/>
    <mergeCell ref="CZ71:DA71"/>
    <mergeCell ref="DB71:DC71"/>
    <mergeCell ref="CR69:CS69"/>
    <mergeCell ref="CT69:CU69"/>
    <mergeCell ref="CV69:CW69"/>
    <mergeCell ref="CX69:CY69"/>
    <mergeCell ref="CZ69:DA69"/>
  </mergeCells>
  <conditionalFormatting sqref="F10">
    <cfRule type="cellIs" dxfId="31" priority="41" operator="equal">
      <formula>FALSE</formula>
    </cfRule>
    <cfRule type="cellIs" dxfId="30" priority="42" operator="equal">
      <formula>TRUE</formula>
    </cfRule>
  </conditionalFormatting>
  <conditionalFormatting sqref="I10 M10 E17 G17 I17 K17 M17 O17">
    <cfRule type="cellIs" dxfId="29" priority="39" operator="equal">
      <formula>TRUE</formula>
    </cfRule>
    <cfRule type="cellIs" dxfId="28" priority="40" operator="equal">
      <formula>FALSE</formula>
    </cfRule>
  </conditionalFormatting>
  <conditionalFormatting sqref="F62">
    <cfRule type="cellIs" dxfId="27" priority="23" operator="equal">
      <formula>FALSE</formula>
    </cfRule>
    <cfRule type="cellIs" dxfId="26" priority="24" operator="equal">
      <formula>TRUE</formula>
    </cfRule>
  </conditionalFormatting>
  <conditionalFormatting sqref="I62 M62 E69 G69 I69 K69 M69 O69">
    <cfRule type="cellIs" dxfId="25" priority="21" operator="equal">
      <formula>TRUE</formula>
    </cfRule>
    <cfRule type="cellIs" dxfId="24" priority="22" operator="equal">
      <formula>FALSE</formula>
    </cfRule>
  </conditionalFormatting>
  <conditionalFormatting sqref="X62">
    <cfRule type="cellIs" dxfId="23" priority="19" operator="equal">
      <formula>FALSE</formula>
    </cfRule>
    <cfRule type="cellIs" dxfId="22" priority="20" operator="equal">
      <formula>TRUE</formula>
    </cfRule>
  </conditionalFormatting>
  <conditionalFormatting sqref="AA62 AE62 W69 Y69 AA69 AC69 AE69 AG69">
    <cfRule type="cellIs" dxfId="21" priority="17" operator="equal">
      <formula>TRUE</formula>
    </cfRule>
    <cfRule type="cellIs" dxfId="20" priority="18" operator="equal">
      <formula>FALSE</formula>
    </cfRule>
  </conditionalFormatting>
  <conditionalFormatting sqref="AP62">
    <cfRule type="cellIs" dxfId="19" priority="15" operator="equal">
      <formula>FALSE</formula>
    </cfRule>
    <cfRule type="cellIs" dxfId="18" priority="16" operator="equal">
      <formula>TRUE</formula>
    </cfRule>
  </conditionalFormatting>
  <conditionalFormatting sqref="AS62 AW62 AO69 AQ69 AS69 AU69 AW69 AY69">
    <cfRule type="cellIs" dxfId="17" priority="13" operator="equal">
      <formula>TRUE</formula>
    </cfRule>
    <cfRule type="cellIs" dxfId="16" priority="14" operator="equal">
      <formula>FALSE</formula>
    </cfRule>
  </conditionalFormatting>
  <conditionalFormatting sqref="BI62">
    <cfRule type="cellIs" dxfId="15" priority="11" operator="equal">
      <formula>FALSE</formula>
    </cfRule>
    <cfRule type="cellIs" dxfId="14" priority="12" operator="equal">
      <formula>TRUE</formula>
    </cfRule>
  </conditionalFormatting>
  <conditionalFormatting sqref="BL62 BP62 BH69 BJ69 BL69 BN69 BP69 BR69">
    <cfRule type="cellIs" dxfId="13" priority="9" operator="equal">
      <formula>TRUE</formula>
    </cfRule>
    <cfRule type="cellIs" dxfId="12" priority="10" operator="equal">
      <formula>FALSE</formula>
    </cfRule>
  </conditionalFormatting>
  <conditionalFormatting sqref="CA62">
    <cfRule type="cellIs" dxfId="11" priority="7" operator="equal">
      <formula>FALSE</formula>
    </cfRule>
    <cfRule type="cellIs" dxfId="10" priority="8" operator="equal">
      <formula>TRUE</formula>
    </cfRule>
  </conditionalFormatting>
  <conditionalFormatting sqref="CD62 CH62 BZ69 CB69 CD69 CF69 CH69 CJ69">
    <cfRule type="cellIs" dxfId="9" priority="5" operator="equal">
      <formula>TRUE</formula>
    </cfRule>
    <cfRule type="cellIs" dxfId="8" priority="6" operator="equal">
      <formula>FALSE</formula>
    </cfRule>
  </conditionalFormatting>
  <conditionalFormatting sqref="CS62">
    <cfRule type="cellIs" dxfId="7" priority="3" operator="equal">
      <formula>FALSE</formula>
    </cfRule>
    <cfRule type="cellIs" dxfId="6" priority="4" operator="equal">
      <formula>TRUE</formula>
    </cfRule>
  </conditionalFormatting>
  <conditionalFormatting sqref="CV62 CZ62 CR69 CT69 CV69 CX69 CZ69 DB69">
    <cfRule type="cellIs" dxfId="5" priority="1" operator="equal">
      <formula>TRUE</formula>
    </cfRule>
    <cfRule type="cellIs" dxfId="4" priority="2" operator="equal">
      <formula>FALSE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1:S224"/>
  <sheetViews>
    <sheetView workbookViewId="0">
      <selection activeCell="K9" sqref="K9"/>
    </sheetView>
  </sheetViews>
  <sheetFormatPr baseColWidth="10" defaultColWidth="10.7109375" defaultRowHeight="15" x14ac:dyDescent="0.25"/>
  <sheetData>
    <row r="1" spans="1:19" x14ac:dyDescent="0.25">
      <c r="A1" s="665" t="s">
        <v>251</v>
      </c>
      <c r="B1" s="665"/>
      <c r="C1" s="665"/>
      <c r="E1" s="663" t="s">
        <v>191</v>
      </c>
      <c r="F1" s="664"/>
      <c r="G1" s="664"/>
      <c r="H1" s="664"/>
      <c r="I1" s="664"/>
      <c r="J1" s="664"/>
      <c r="K1" s="664"/>
      <c r="L1" s="664"/>
    </row>
    <row r="2" spans="1:19" x14ac:dyDescent="0.25">
      <c r="A2" s="27" t="s">
        <v>192</v>
      </c>
      <c r="B2" s="27" t="s">
        <v>193</v>
      </c>
      <c r="C2" s="27" t="s">
        <v>194</v>
      </c>
      <c r="E2" s="113" t="s">
        <v>195</v>
      </c>
      <c r="F2" s="113" t="s">
        <v>196</v>
      </c>
      <c r="G2" s="113" t="s">
        <v>197</v>
      </c>
      <c r="H2" s="122" t="s">
        <v>198</v>
      </c>
      <c r="I2" s="113" t="s">
        <v>109</v>
      </c>
      <c r="J2" s="113" t="s">
        <v>199</v>
      </c>
      <c r="K2" s="113" t="s">
        <v>200</v>
      </c>
      <c r="L2" s="113" t="s">
        <v>201</v>
      </c>
    </row>
    <row r="3" spans="1:19" ht="15.75" thickBot="1" x14ac:dyDescent="0.3">
      <c r="A3" s="61" t="s">
        <v>202</v>
      </c>
      <c r="B3" s="61" t="s">
        <v>203</v>
      </c>
      <c r="C3" s="61" t="s">
        <v>203</v>
      </c>
      <c r="E3" s="62">
        <f>ROUND(SpecData!D71,0)</f>
        <v>1226</v>
      </c>
      <c r="F3" s="62">
        <f>'R22 beta II'!Q12</f>
        <v>1582</v>
      </c>
      <c r="G3" s="62">
        <f>'R22 beta II'!R9</f>
        <v>12</v>
      </c>
      <c r="H3" s="62">
        <f>'R22 beta II'!R7</f>
        <v>-5</v>
      </c>
      <c r="I3" s="62">
        <f>'R22 beta II'!Q13</f>
        <v>1013</v>
      </c>
      <c r="J3" s="62">
        <f>'R22 beta II'!Q14</f>
        <v>0</v>
      </c>
      <c r="K3" s="62">
        <f>SpecData!E40</f>
        <v>-200</v>
      </c>
      <c r="L3" s="62">
        <f>SpecData!E38</f>
        <v>27</v>
      </c>
    </row>
    <row r="4" spans="1:19" ht="16.5" thickTop="1" thickBot="1" x14ac:dyDescent="0.3">
      <c r="A4" s="63">
        <v>1150</v>
      </c>
      <c r="B4" s="63">
        <v>13909</v>
      </c>
      <c r="C4" s="63">
        <v>13800</v>
      </c>
    </row>
    <row r="5" spans="1:19" x14ac:dyDescent="0.25">
      <c r="A5" s="71">
        <v>1151</v>
      </c>
      <c r="B5" s="71">
        <v>13887.78</v>
      </c>
      <c r="C5" s="71">
        <v>13787.92</v>
      </c>
      <c r="E5" s="533" t="s">
        <v>252</v>
      </c>
      <c r="F5" s="534"/>
      <c r="G5" s="534"/>
      <c r="H5" s="534"/>
      <c r="I5" s="534"/>
      <c r="J5" s="534"/>
      <c r="K5" s="534"/>
      <c r="L5" s="534"/>
      <c r="M5" s="534"/>
      <c r="N5" s="535"/>
      <c r="O5" s="65"/>
      <c r="P5" s="65"/>
    </row>
    <row r="6" spans="1:19" ht="15.75" thickBot="1" x14ac:dyDescent="0.3">
      <c r="A6" s="71">
        <v>1152</v>
      </c>
      <c r="B6" s="72">
        <v>13866.56</v>
      </c>
      <c r="C6" s="72">
        <v>13775.84</v>
      </c>
      <c r="E6" s="633"/>
      <c r="F6" s="655"/>
      <c r="G6" s="655"/>
      <c r="H6" s="655"/>
      <c r="I6" s="655"/>
      <c r="J6" s="655"/>
      <c r="K6" s="655"/>
      <c r="L6" s="655"/>
      <c r="M6" s="655"/>
      <c r="N6" s="656"/>
      <c r="O6" s="48" t="s">
        <v>253</v>
      </c>
      <c r="P6" s="48"/>
    </row>
    <row r="7" spans="1:19" x14ac:dyDescent="0.25">
      <c r="A7" s="71">
        <v>1153</v>
      </c>
      <c r="B7" s="71">
        <v>13845.34</v>
      </c>
      <c r="C7" s="71">
        <v>13763.76</v>
      </c>
      <c r="E7" s="31"/>
      <c r="F7" s="32" t="s">
        <v>254</v>
      </c>
      <c r="G7" s="32"/>
      <c r="H7" s="64">
        <f>15-(F3/1000*2)</f>
        <v>11.836</v>
      </c>
      <c r="I7" s="32" t="s">
        <v>16</v>
      </c>
      <c r="J7" t="s">
        <v>207</v>
      </c>
      <c r="K7" s="134">
        <f>H3</f>
        <v>-5</v>
      </c>
      <c r="L7" t="s">
        <v>16</v>
      </c>
      <c r="M7" s="32"/>
      <c r="N7" s="33"/>
      <c r="O7" s="26" t="s">
        <v>208</v>
      </c>
      <c r="P7" s="51">
        <v>55.95</v>
      </c>
      <c r="Q7" t="s">
        <v>209</v>
      </c>
    </row>
    <row r="8" spans="1:19" ht="15.75" thickBot="1" x14ac:dyDescent="0.3">
      <c r="A8" s="71">
        <v>1154</v>
      </c>
      <c r="B8" s="72">
        <v>13824.12</v>
      </c>
      <c r="C8" s="72">
        <v>13751.68</v>
      </c>
      <c r="E8" s="41"/>
      <c r="F8" s="42" t="s">
        <v>210</v>
      </c>
      <c r="G8" s="42"/>
      <c r="H8" s="45">
        <f>G3-H7</f>
        <v>0.1639999999999997</v>
      </c>
      <c r="I8" s="42" t="s">
        <v>16</v>
      </c>
      <c r="J8" t="s">
        <v>211</v>
      </c>
      <c r="K8" s="26">
        <f>'Perfo HOGE'!N8</f>
        <v>0</v>
      </c>
      <c r="L8" t="s">
        <v>16</v>
      </c>
      <c r="M8" s="42"/>
      <c r="N8" s="40"/>
      <c r="O8" t="s">
        <v>212</v>
      </c>
      <c r="P8" t="s">
        <v>255</v>
      </c>
      <c r="S8" t="s">
        <v>256</v>
      </c>
    </row>
    <row r="9" spans="1:19" x14ac:dyDescent="0.25">
      <c r="A9" s="71">
        <v>1155</v>
      </c>
      <c r="B9" s="71">
        <v>13802.9</v>
      </c>
      <c r="C9" s="71">
        <v>13739.6</v>
      </c>
      <c r="E9" s="31"/>
      <c r="F9" s="634" t="s">
        <v>215</v>
      </c>
      <c r="G9" s="634"/>
      <c r="H9" s="53"/>
      <c r="I9" s="57" t="s">
        <v>216</v>
      </c>
      <c r="J9" s="53"/>
      <c r="K9" s="32"/>
      <c r="L9" s="634" t="s">
        <v>217</v>
      </c>
      <c r="M9" s="634"/>
      <c r="N9" s="33"/>
      <c r="O9" t="s">
        <v>218</v>
      </c>
      <c r="P9" t="s">
        <v>257</v>
      </c>
      <c r="S9" t="s">
        <v>258</v>
      </c>
    </row>
    <row r="10" spans="1:19" ht="15.75" thickBot="1" x14ac:dyDescent="0.3">
      <c r="A10" s="71">
        <v>1156</v>
      </c>
      <c r="B10" s="72">
        <v>13781.68</v>
      </c>
      <c r="C10" s="72">
        <v>13727.52</v>
      </c>
      <c r="E10" s="36"/>
      <c r="F10" s="666" t="b">
        <f>IF(K8&gt;H8,IF(ROUND(K8,0)&gt;0,TRUE,FALSE),IF(ROUND(H8,0)&gt;0,TRUE,FALSE))</f>
        <v>0</v>
      </c>
      <c r="G10" s="666"/>
      <c r="H10" s="55"/>
      <c r="I10" s="667" t="b">
        <f>IF(K8&gt;H8,IF(ROUND(K8,0)=0,TRUE,FALSE),IF(ROUND(H8,0)=0,TRUE,FALSE))</f>
        <v>1</v>
      </c>
      <c r="J10" s="668"/>
      <c r="L10" s="666" t="b">
        <f>IF(K8&gt;H8,IF(ROUND(K8,0)&lt;0,TRUE,FALSE),IF(ROUND(H8,0)&lt;0,TRUE,FALSE))</f>
        <v>0</v>
      </c>
      <c r="M10" s="666"/>
      <c r="N10" s="66"/>
    </row>
    <row r="11" spans="1:19" x14ac:dyDescent="0.25">
      <c r="A11" s="71">
        <v>1157</v>
      </c>
      <c r="B11" s="71">
        <v>13760.46</v>
      </c>
      <c r="C11" s="71">
        <v>13715.44</v>
      </c>
      <c r="E11" s="31"/>
      <c r="F11" s="32"/>
      <c r="G11" s="32"/>
      <c r="H11" s="53"/>
      <c r="I11" s="32"/>
      <c r="J11" s="32"/>
      <c r="K11" s="57"/>
      <c r="L11" s="32"/>
      <c r="M11" s="32"/>
      <c r="N11" s="33"/>
    </row>
    <row r="12" spans="1:19" x14ac:dyDescent="0.25">
      <c r="A12" s="71">
        <v>1158</v>
      </c>
      <c r="B12" s="72">
        <v>13739.24</v>
      </c>
      <c r="C12" s="72">
        <v>13703.36</v>
      </c>
      <c r="E12" s="36"/>
      <c r="F12" s="636" t="s">
        <v>237</v>
      </c>
      <c r="G12" s="636"/>
      <c r="H12" s="55"/>
      <c r="I12" s="636" t="s">
        <v>237</v>
      </c>
      <c r="J12" s="636"/>
      <c r="K12" s="58"/>
      <c r="L12" s="636" t="s">
        <v>237</v>
      </c>
      <c r="M12" s="636"/>
      <c r="N12" s="2"/>
    </row>
    <row r="13" spans="1:19" ht="15.75" thickBot="1" x14ac:dyDescent="0.3">
      <c r="A13" s="71">
        <v>1159</v>
      </c>
      <c r="B13" s="71">
        <v>13718.02</v>
      </c>
      <c r="C13" s="71">
        <v>13691.28</v>
      </c>
      <c r="E13" s="41"/>
      <c r="F13" s="45">
        <f>IF(K8&gt;H8,VLOOKUP(E3,A4:C224,3,TRUE)-(P7*K8),VLOOKUP(E3,A4:C224,3,TRUE)-(P7*H8))</f>
        <v>12018.904199999999</v>
      </c>
      <c r="G13" s="42" t="s">
        <v>25</v>
      </c>
      <c r="H13" s="56"/>
      <c r="I13" s="45">
        <f>VLOOKUP(E3,A4:C224,3,TRUE)</f>
        <v>12028.08</v>
      </c>
      <c r="J13" s="42" t="s">
        <v>25</v>
      </c>
      <c r="K13" s="67"/>
      <c r="L13" s="45">
        <f>IF(K8&gt;H8,VLOOKUP(E3,A4:C224,3,TRUE)-(P7*K8),VLOOKUP(E3,A4:C224,3,TRUE)-(P7*H8))</f>
        <v>12018.904199999999</v>
      </c>
      <c r="M13" s="42" t="s">
        <v>25</v>
      </c>
      <c r="N13" s="40"/>
    </row>
    <row r="14" spans="1:19" ht="15.75" thickBot="1" x14ac:dyDescent="0.3">
      <c r="A14" s="71">
        <v>1160</v>
      </c>
      <c r="B14" s="72">
        <v>13696.8</v>
      </c>
      <c r="C14" s="72">
        <v>13679.2</v>
      </c>
      <c r="E14" s="68"/>
      <c r="F14" s="47">
        <f>IF(F10,F13,0)</f>
        <v>0</v>
      </c>
      <c r="G14" s="43" t="s">
        <v>25</v>
      </c>
      <c r="H14" s="43"/>
      <c r="I14" s="47">
        <f>IF(I10,I13,0)</f>
        <v>12028.08</v>
      </c>
      <c r="J14" s="69" t="s">
        <v>25</v>
      </c>
      <c r="K14" s="43"/>
      <c r="L14" s="47">
        <f>IF(L10,L13,0)</f>
        <v>0</v>
      </c>
      <c r="M14" s="43" t="s">
        <v>25</v>
      </c>
      <c r="N14" s="44"/>
    </row>
    <row r="15" spans="1:19" x14ac:dyDescent="0.25">
      <c r="A15" s="71">
        <v>1161</v>
      </c>
      <c r="B15" s="71">
        <v>13675.58</v>
      </c>
      <c r="C15" s="71">
        <v>13667.12</v>
      </c>
      <c r="E15" s="533" t="s">
        <v>34</v>
      </c>
      <c r="F15" s="32"/>
      <c r="G15" s="32"/>
      <c r="H15" s="634" t="s">
        <v>239</v>
      </c>
      <c r="I15" s="634"/>
      <c r="J15" s="634"/>
      <c r="K15" s="634"/>
      <c r="L15" s="32"/>
      <c r="M15" s="32"/>
      <c r="N15" s="33"/>
      <c r="O15" s="36"/>
    </row>
    <row r="16" spans="1:19" ht="15.75" thickBot="1" x14ac:dyDescent="0.3">
      <c r="A16" s="71">
        <v>1162</v>
      </c>
      <c r="B16" s="72">
        <v>13654.36</v>
      </c>
      <c r="C16" s="72">
        <v>13655.04</v>
      </c>
      <c r="E16" s="633"/>
      <c r="F16" s="42"/>
      <c r="G16" s="42"/>
      <c r="H16" s="42"/>
      <c r="I16" s="45">
        <f>SUM(F14+I14+L14+K3)</f>
        <v>11828.08</v>
      </c>
      <c r="J16" s="42" t="s">
        <v>25</v>
      </c>
      <c r="L16" s="42"/>
      <c r="M16" s="42"/>
      <c r="N16" s="40"/>
      <c r="O16" s="36"/>
    </row>
    <row r="17" spans="1:18" ht="15.75" thickBot="1" x14ac:dyDescent="0.3">
      <c r="A17" s="71">
        <v>1163</v>
      </c>
      <c r="B17" s="71">
        <v>13633.14</v>
      </c>
      <c r="C17" s="71">
        <v>13642.96</v>
      </c>
      <c r="E17" s="533" t="s">
        <v>240</v>
      </c>
      <c r="F17" s="32"/>
      <c r="G17" s="32"/>
      <c r="H17" s="634" t="s">
        <v>241</v>
      </c>
      <c r="I17" s="634"/>
      <c r="J17" s="634"/>
      <c r="K17" s="634"/>
      <c r="L17" s="32"/>
      <c r="M17" s="32"/>
      <c r="N17" s="33"/>
      <c r="O17" s="36"/>
    </row>
    <row r="18" spans="1:18" ht="16.5" thickTop="1" thickBot="1" x14ac:dyDescent="0.3">
      <c r="A18" s="71">
        <v>1164</v>
      </c>
      <c r="B18" s="72">
        <v>13611.92</v>
      </c>
      <c r="C18" s="72">
        <v>13630.88</v>
      </c>
      <c r="E18" s="635"/>
      <c r="H18" s="636" t="s">
        <v>242</v>
      </c>
      <c r="I18" s="636"/>
      <c r="J18" s="636"/>
      <c r="K18" s="636"/>
      <c r="N18" s="2"/>
      <c r="O18" s="36"/>
      <c r="P18" s="74" t="s">
        <v>243</v>
      </c>
      <c r="Q18" s="75" t="e">
        <f>((G3+273)*96)/J3</f>
        <v>#DIV/0!</v>
      </c>
      <c r="R18" s="76" t="s">
        <v>162</v>
      </c>
    </row>
    <row r="19" spans="1:18" ht="16.5" thickTop="1" thickBot="1" x14ac:dyDescent="0.3">
      <c r="A19" s="71">
        <v>1165</v>
      </c>
      <c r="B19" s="71">
        <v>13590.7</v>
      </c>
      <c r="C19" s="71">
        <v>13618.8</v>
      </c>
      <c r="E19" s="633"/>
      <c r="F19" s="42"/>
      <c r="G19" s="42"/>
      <c r="H19" s="42"/>
      <c r="I19" s="49">
        <f>IF(J3&gt;0,I16+((I3-1013)*Q18),I16+((I3-1013)*L3))</f>
        <v>11828.08</v>
      </c>
      <c r="J19" s="50" t="s">
        <v>25</v>
      </c>
      <c r="K19" s="42"/>
      <c r="L19" s="42"/>
      <c r="M19" s="42"/>
      <c r="N19" s="40"/>
      <c r="O19" s="36"/>
      <c r="P19" s="77"/>
      <c r="Q19" s="78"/>
      <c r="R19" s="79"/>
    </row>
    <row r="20" spans="1:18" x14ac:dyDescent="0.25">
      <c r="A20" s="71">
        <v>1166</v>
      </c>
      <c r="B20" s="72">
        <v>13569.48</v>
      </c>
      <c r="C20" s="72">
        <v>13606.72</v>
      </c>
      <c r="P20" s="77"/>
      <c r="Q20" s="78"/>
      <c r="R20" s="79"/>
    </row>
    <row r="21" spans="1:18" x14ac:dyDescent="0.25">
      <c r="A21" s="71">
        <v>1167</v>
      </c>
      <c r="B21" s="71">
        <v>13548.26</v>
      </c>
      <c r="C21" s="71">
        <v>13594.64</v>
      </c>
      <c r="H21" s="87"/>
      <c r="I21" s="87"/>
      <c r="J21" s="87"/>
      <c r="P21" s="77"/>
      <c r="Q21" s="78"/>
      <c r="R21" s="79"/>
    </row>
    <row r="22" spans="1:18" x14ac:dyDescent="0.25">
      <c r="A22" s="71">
        <v>1168</v>
      </c>
      <c r="B22" s="72">
        <v>13527.04</v>
      </c>
      <c r="C22" s="72">
        <v>13582.56</v>
      </c>
      <c r="P22" s="77"/>
      <c r="Q22" s="78"/>
      <c r="R22" s="79"/>
    </row>
    <row r="23" spans="1:18" x14ac:dyDescent="0.25">
      <c r="A23" s="71">
        <v>1169</v>
      </c>
      <c r="B23" s="71">
        <v>13505.82</v>
      </c>
      <c r="C23" s="71">
        <v>13570.48</v>
      </c>
      <c r="P23" s="77"/>
      <c r="Q23" s="78"/>
      <c r="R23" s="79"/>
    </row>
    <row r="24" spans="1:18" x14ac:dyDescent="0.25">
      <c r="A24" s="71">
        <v>1170</v>
      </c>
      <c r="B24" s="72">
        <v>13484.6</v>
      </c>
      <c r="C24" s="72">
        <v>13558.4</v>
      </c>
      <c r="P24" s="77"/>
      <c r="Q24" s="78"/>
      <c r="R24" s="79"/>
    </row>
    <row r="25" spans="1:18" x14ac:dyDescent="0.25">
      <c r="A25" s="71">
        <v>1171</v>
      </c>
      <c r="B25" s="71">
        <v>13463.38</v>
      </c>
      <c r="C25" s="71">
        <v>13546.32</v>
      </c>
      <c r="P25" s="77"/>
      <c r="Q25" s="78"/>
      <c r="R25" s="79"/>
    </row>
    <row r="26" spans="1:18" x14ac:dyDescent="0.25">
      <c r="A26" s="71">
        <v>1172</v>
      </c>
      <c r="B26" s="72">
        <v>13442.16</v>
      </c>
      <c r="C26" s="72">
        <v>13534.24</v>
      </c>
      <c r="P26" s="80"/>
      <c r="Q26" s="81"/>
      <c r="R26" s="82"/>
    </row>
    <row r="27" spans="1:18" x14ac:dyDescent="0.25">
      <c r="A27" s="71">
        <v>1173</v>
      </c>
      <c r="B27" s="71">
        <v>13420.94</v>
      </c>
      <c r="C27" s="71">
        <v>13522.16</v>
      </c>
    </row>
    <row r="28" spans="1:18" x14ac:dyDescent="0.25">
      <c r="A28" s="71">
        <v>1174</v>
      </c>
      <c r="B28" s="72">
        <v>13399.72</v>
      </c>
      <c r="C28" s="72">
        <v>13510.08</v>
      </c>
    </row>
    <row r="29" spans="1:18" x14ac:dyDescent="0.25">
      <c r="A29" s="71">
        <v>1175</v>
      </c>
      <c r="B29" s="71">
        <v>13378.5</v>
      </c>
      <c r="C29" s="71">
        <v>13498</v>
      </c>
    </row>
    <row r="30" spans="1:18" x14ac:dyDescent="0.25">
      <c r="A30" s="71">
        <v>1176</v>
      </c>
      <c r="B30" s="72">
        <v>13357.28</v>
      </c>
      <c r="C30" s="72">
        <v>13485.92</v>
      </c>
    </row>
    <row r="31" spans="1:18" x14ac:dyDescent="0.25">
      <c r="A31" s="71">
        <v>1177</v>
      </c>
      <c r="B31" s="71">
        <v>13336.06</v>
      </c>
      <c r="C31" s="71">
        <v>13473.84</v>
      </c>
    </row>
    <row r="32" spans="1:18" x14ac:dyDescent="0.25">
      <c r="A32" s="71">
        <v>1178</v>
      </c>
      <c r="B32" s="72">
        <v>13314.84</v>
      </c>
      <c r="C32" s="72">
        <v>13461.76</v>
      </c>
    </row>
    <row r="33" spans="1:3" x14ac:dyDescent="0.25">
      <c r="A33" s="71">
        <v>1179</v>
      </c>
      <c r="B33" s="71">
        <v>13293.62</v>
      </c>
      <c r="C33" s="71">
        <v>13449.68</v>
      </c>
    </row>
    <row r="34" spans="1:3" x14ac:dyDescent="0.25">
      <c r="A34" s="71">
        <v>1180</v>
      </c>
      <c r="B34" s="72">
        <v>13272.4</v>
      </c>
      <c r="C34" s="72">
        <v>13437.6</v>
      </c>
    </row>
    <row r="35" spans="1:3" x14ac:dyDescent="0.25">
      <c r="A35" s="71">
        <v>1181</v>
      </c>
      <c r="B35" s="71">
        <v>13251.18</v>
      </c>
      <c r="C35" s="71">
        <v>13425.52</v>
      </c>
    </row>
    <row r="36" spans="1:3" x14ac:dyDescent="0.25">
      <c r="A36" s="71">
        <v>1182</v>
      </c>
      <c r="B36" s="72">
        <v>13229.96</v>
      </c>
      <c r="C36" s="72">
        <v>13413.44</v>
      </c>
    </row>
    <row r="37" spans="1:3" x14ac:dyDescent="0.25">
      <c r="A37" s="71">
        <v>1183</v>
      </c>
      <c r="B37" s="71">
        <v>13208.74</v>
      </c>
      <c r="C37" s="71">
        <v>13401.36</v>
      </c>
    </row>
    <row r="38" spans="1:3" x14ac:dyDescent="0.25">
      <c r="A38" s="71">
        <v>1184</v>
      </c>
      <c r="B38" s="72">
        <v>13187.52</v>
      </c>
      <c r="C38" s="72">
        <v>13389.28</v>
      </c>
    </row>
    <row r="39" spans="1:3" x14ac:dyDescent="0.25">
      <c r="A39" s="71">
        <v>1185</v>
      </c>
      <c r="B39" s="71">
        <v>13166.3</v>
      </c>
      <c r="C39" s="71">
        <v>13377.2</v>
      </c>
    </row>
    <row r="40" spans="1:3" x14ac:dyDescent="0.25">
      <c r="A40" s="71">
        <v>1186</v>
      </c>
      <c r="B40" s="72">
        <v>13145.08</v>
      </c>
      <c r="C40" s="72">
        <v>13365.12</v>
      </c>
    </row>
    <row r="41" spans="1:3" x14ac:dyDescent="0.25">
      <c r="A41" s="71">
        <v>1187</v>
      </c>
      <c r="B41" s="71">
        <v>13123.86</v>
      </c>
      <c r="C41" s="71">
        <v>13353.04</v>
      </c>
    </row>
    <row r="42" spans="1:3" x14ac:dyDescent="0.25">
      <c r="A42" s="71">
        <v>1188</v>
      </c>
      <c r="B42" s="72">
        <v>13102.64</v>
      </c>
      <c r="C42" s="72">
        <v>13340.96</v>
      </c>
    </row>
    <row r="43" spans="1:3" x14ac:dyDescent="0.25">
      <c r="A43" s="71">
        <v>1189</v>
      </c>
      <c r="B43" s="71">
        <v>13081.42</v>
      </c>
      <c r="C43" s="71">
        <v>13328.88</v>
      </c>
    </row>
    <row r="44" spans="1:3" x14ac:dyDescent="0.25">
      <c r="A44" s="71">
        <v>1190</v>
      </c>
      <c r="B44" s="72">
        <v>13060.2</v>
      </c>
      <c r="C44" s="72">
        <v>13316.8</v>
      </c>
    </row>
    <row r="45" spans="1:3" x14ac:dyDescent="0.25">
      <c r="A45" s="71">
        <v>1191</v>
      </c>
      <c r="B45" s="71">
        <v>13038.98</v>
      </c>
      <c r="C45" s="71">
        <v>13304.72</v>
      </c>
    </row>
    <row r="46" spans="1:3" x14ac:dyDescent="0.25">
      <c r="A46" s="71">
        <v>1192</v>
      </c>
      <c r="B46" s="72">
        <v>13017.76</v>
      </c>
      <c r="C46" s="72">
        <v>13292.64</v>
      </c>
    </row>
    <row r="47" spans="1:3" x14ac:dyDescent="0.25">
      <c r="A47" s="71">
        <v>1193</v>
      </c>
      <c r="B47" s="71">
        <v>12996.54</v>
      </c>
      <c r="C47" s="71">
        <v>13280.56</v>
      </c>
    </row>
    <row r="48" spans="1:3" x14ac:dyDescent="0.25">
      <c r="A48" s="71">
        <v>1194</v>
      </c>
      <c r="B48" s="72">
        <v>12975.32</v>
      </c>
      <c r="C48" s="72">
        <v>13268.48</v>
      </c>
    </row>
    <row r="49" spans="1:3" x14ac:dyDescent="0.25">
      <c r="A49" s="71">
        <v>1195</v>
      </c>
      <c r="B49" s="71">
        <v>12954.1</v>
      </c>
      <c r="C49" s="71">
        <v>13256.4</v>
      </c>
    </row>
    <row r="50" spans="1:3" x14ac:dyDescent="0.25">
      <c r="A50" s="71">
        <v>1196</v>
      </c>
      <c r="B50" s="72">
        <v>12932.88</v>
      </c>
      <c r="C50" s="72">
        <v>13244.32</v>
      </c>
    </row>
    <row r="51" spans="1:3" x14ac:dyDescent="0.25">
      <c r="A51" s="71">
        <v>1197</v>
      </c>
      <c r="B51" s="71">
        <v>12911.66</v>
      </c>
      <c r="C51" s="71">
        <v>13232.24</v>
      </c>
    </row>
    <row r="52" spans="1:3" x14ac:dyDescent="0.25">
      <c r="A52" s="71">
        <v>1198</v>
      </c>
      <c r="B52" s="72">
        <v>12890.44</v>
      </c>
      <c r="C52" s="72">
        <v>13220.16</v>
      </c>
    </row>
    <row r="53" spans="1:3" x14ac:dyDescent="0.25">
      <c r="A53" s="71">
        <v>1199</v>
      </c>
      <c r="B53" s="71">
        <v>12869.22</v>
      </c>
      <c r="C53" s="71">
        <v>13208.08</v>
      </c>
    </row>
    <row r="54" spans="1:3" x14ac:dyDescent="0.25">
      <c r="A54" s="28">
        <v>1200</v>
      </c>
      <c r="B54" s="28">
        <v>12848</v>
      </c>
      <c r="C54" s="28">
        <v>13196</v>
      </c>
    </row>
    <row r="55" spans="1:3" x14ac:dyDescent="0.25">
      <c r="A55" s="71">
        <v>1201</v>
      </c>
      <c r="B55" s="71">
        <v>12828.06</v>
      </c>
      <c r="C55" s="71">
        <v>13151.08</v>
      </c>
    </row>
    <row r="56" spans="1:3" x14ac:dyDescent="0.25">
      <c r="A56" s="71">
        <v>1202</v>
      </c>
      <c r="B56" s="71">
        <v>12808.12</v>
      </c>
      <c r="C56" s="71">
        <v>13106.16</v>
      </c>
    </row>
    <row r="57" spans="1:3" x14ac:dyDescent="0.25">
      <c r="A57" s="71">
        <v>1203</v>
      </c>
      <c r="B57" s="71">
        <v>12788.18</v>
      </c>
      <c r="C57" s="71">
        <v>13061.24</v>
      </c>
    </row>
    <row r="58" spans="1:3" x14ac:dyDescent="0.25">
      <c r="A58" s="71">
        <v>1204</v>
      </c>
      <c r="B58" s="71">
        <v>12768.24</v>
      </c>
      <c r="C58" s="71">
        <v>13016.32</v>
      </c>
    </row>
    <row r="59" spans="1:3" x14ac:dyDescent="0.25">
      <c r="A59" s="71">
        <v>1205</v>
      </c>
      <c r="B59" s="71">
        <v>12748.3</v>
      </c>
      <c r="C59" s="71">
        <v>12971.4</v>
      </c>
    </row>
    <row r="60" spans="1:3" x14ac:dyDescent="0.25">
      <c r="A60" s="71">
        <v>1206</v>
      </c>
      <c r="B60" s="71">
        <v>12728.36</v>
      </c>
      <c r="C60" s="71">
        <v>12926.48</v>
      </c>
    </row>
    <row r="61" spans="1:3" x14ac:dyDescent="0.25">
      <c r="A61" s="71">
        <v>1207</v>
      </c>
      <c r="B61" s="71">
        <v>12708.42</v>
      </c>
      <c r="C61" s="71">
        <v>12881.56</v>
      </c>
    </row>
    <row r="62" spans="1:3" x14ac:dyDescent="0.25">
      <c r="A62" s="71">
        <v>1208</v>
      </c>
      <c r="B62" s="71">
        <v>12688.48</v>
      </c>
      <c r="C62" s="71">
        <v>12836.64</v>
      </c>
    </row>
    <row r="63" spans="1:3" x14ac:dyDescent="0.25">
      <c r="A63" s="71">
        <v>1209</v>
      </c>
      <c r="B63" s="71">
        <v>12668.54</v>
      </c>
      <c r="C63" s="71">
        <v>12791.72</v>
      </c>
    </row>
    <row r="64" spans="1:3" x14ac:dyDescent="0.25">
      <c r="A64" s="71">
        <v>1210</v>
      </c>
      <c r="B64" s="71">
        <v>12648.6</v>
      </c>
      <c r="C64" s="71">
        <v>12746.8</v>
      </c>
    </row>
    <row r="65" spans="1:3" x14ac:dyDescent="0.25">
      <c r="A65" s="71">
        <v>1211</v>
      </c>
      <c r="B65" s="71">
        <v>12628.66</v>
      </c>
      <c r="C65" s="71">
        <v>12701.88</v>
      </c>
    </row>
    <row r="66" spans="1:3" x14ac:dyDescent="0.25">
      <c r="A66" s="71">
        <v>1212</v>
      </c>
      <c r="B66" s="71">
        <v>12608.72</v>
      </c>
      <c r="C66" s="71">
        <v>12656.96</v>
      </c>
    </row>
    <row r="67" spans="1:3" x14ac:dyDescent="0.25">
      <c r="A67" s="27">
        <v>1213</v>
      </c>
      <c r="B67" s="29">
        <v>12588.78</v>
      </c>
      <c r="C67" s="29">
        <v>12612.04</v>
      </c>
    </row>
    <row r="68" spans="1:3" x14ac:dyDescent="0.25">
      <c r="A68" s="27">
        <v>1214</v>
      </c>
      <c r="B68" s="29">
        <v>12568.84</v>
      </c>
      <c r="C68" s="29">
        <v>12567.12</v>
      </c>
    </row>
    <row r="69" spans="1:3" x14ac:dyDescent="0.25">
      <c r="A69" s="27">
        <v>1215</v>
      </c>
      <c r="B69" s="29">
        <v>12548.9</v>
      </c>
      <c r="C69" s="29">
        <v>12522.2</v>
      </c>
    </row>
    <row r="70" spans="1:3" x14ac:dyDescent="0.25">
      <c r="A70" s="27">
        <v>1216</v>
      </c>
      <c r="B70" s="29">
        <v>12528.96</v>
      </c>
      <c r="C70" s="29">
        <v>12477.28</v>
      </c>
    </row>
    <row r="71" spans="1:3" x14ac:dyDescent="0.25">
      <c r="A71" s="27">
        <v>1217</v>
      </c>
      <c r="B71" s="29">
        <v>12509.02</v>
      </c>
      <c r="C71" s="29">
        <v>12432.36</v>
      </c>
    </row>
    <row r="72" spans="1:3" x14ac:dyDescent="0.25">
      <c r="A72" s="27">
        <v>1218</v>
      </c>
      <c r="B72" s="29">
        <v>12489.08</v>
      </c>
      <c r="C72" s="29">
        <v>12387.44</v>
      </c>
    </row>
    <row r="73" spans="1:3" x14ac:dyDescent="0.25">
      <c r="A73" s="27">
        <v>1219</v>
      </c>
      <c r="B73" s="29">
        <v>12469.14</v>
      </c>
      <c r="C73" s="29">
        <v>12342.52</v>
      </c>
    </row>
    <row r="74" spans="1:3" x14ac:dyDescent="0.25">
      <c r="A74" s="27">
        <v>1220</v>
      </c>
      <c r="B74" s="29">
        <v>12449.2</v>
      </c>
      <c r="C74" s="29">
        <v>12297.6</v>
      </c>
    </row>
    <row r="75" spans="1:3" x14ac:dyDescent="0.25">
      <c r="A75" s="27">
        <v>1221</v>
      </c>
      <c r="B75" s="29">
        <v>12429.26</v>
      </c>
      <c r="C75" s="29">
        <v>12252.68</v>
      </c>
    </row>
    <row r="76" spans="1:3" x14ac:dyDescent="0.25">
      <c r="A76" s="27">
        <v>1222</v>
      </c>
      <c r="B76" s="29">
        <v>12409.32</v>
      </c>
      <c r="C76" s="29">
        <v>12207.76</v>
      </c>
    </row>
    <row r="77" spans="1:3" x14ac:dyDescent="0.25">
      <c r="A77" s="27">
        <v>1223</v>
      </c>
      <c r="B77" s="29">
        <v>12389.38</v>
      </c>
      <c r="C77" s="29">
        <v>12162.84</v>
      </c>
    </row>
    <row r="78" spans="1:3" x14ac:dyDescent="0.25">
      <c r="A78" s="27">
        <v>1224</v>
      </c>
      <c r="B78" s="29">
        <v>12369.44</v>
      </c>
      <c r="C78" s="29">
        <v>12117.92</v>
      </c>
    </row>
    <row r="79" spans="1:3" x14ac:dyDescent="0.25">
      <c r="A79" s="27">
        <v>1225</v>
      </c>
      <c r="B79" s="29">
        <v>12349.5</v>
      </c>
      <c r="C79" s="29">
        <v>12073</v>
      </c>
    </row>
    <row r="80" spans="1:3" x14ac:dyDescent="0.25">
      <c r="A80" s="27">
        <v>1226</v>
      </c>
      <c r="B80" s="29">
        <v>12329.56</v>
      </c>
      <c r="C80" s="29">
        <v>12028.08</v>
      </c>
    </row>
    <row r="81" spans="1:3" x14ac:dyDescent="0.25">
      <c r="A81" s="27">
        <v>1227</v>
      </c>
      <c r="B81" s="29">
        <v>12309.62</v>
      </c>
      <c r="C81" s="29">
        <v>11983.16</v>
      </c>
    </row>
    <row r="82" spans="1:3" x14ac:dyDescent="0.25">
      <c r="A82" s="27">
        <v>1228</v>
      </c>
      <c r="B82" s="29">
        <v>12289.68</v>
      </c>
      <c r="C82" s="29">
        <v>11938.24</v>
      </c>
    </row>
    <row r="83" spans="1:3" x14ac:dyDescent="0.25">
      <c r="A83" s="27">
        <v>1229</v>
      </c>
      <c r="B83" s="29">
        <v>12269.74</v>
      </c>
      <c r="C83" s="29">
        <v>11893.32</v>
      </c>
    </row>
    <row r="84" spans="1:3" x14ac:dyDescent="0.25">
      <c r="A84" s="27">
        <v>1230</v>
      </c>
      <c r="B84" s="29">
        <v>12249.8</v>
      </c>
      <c r="C84" s="29">
        <v>11848.4</v>
      </c>
    </row>
    <row r="85" spans="1:3" x14ac:dyDescent="0.25">
      <c r="A85" s="27">
        <v>1231</v>
      </c>
      <c r="B85" s="29">
        <v>12229.86</v>
      </c>
      <c r="C85" s="29">
        <v>11803.48</v>
      </c>
    </row>
    <row r="86" spans="1:3" x14ac:dyDescent="0.25">
      <c r="A86" s="27">
        <v>1232</v>
      </c>
      <c r="B86" s="29">
        <v>12209.92</v>
      </c>
      <c r="C86" s="29">
        <v>11758.56</v>
      </c>
    </row>
    <row r="87" spans="1:3" x14ac:dyDescent="0.25">
      <c r="A87" s="27">
        <v>1233</v>
      </c>
      <c r="B87" s="29">
        <v>12189.98</v>
      </c>
      <c r="C87" s="29">
        <v>11713.64</v>
      </c>
    </row>
    <row r="88" spans="1:3" x14ac:dyDescent="0.25">
      <c r="A88" s="27">
        <v>1234</v>
      </c>
      <c r="B88" s="29">
        <v>12170.04</v>
      </c>
      <c r="C88" s="29">
        <v>11668.72</v>
      </c>
    </row>
    <row r="89" spans="1:3" x14ac:dyDescent="0.25">
      <c r="A89" s="27">
        <v>1235</v>
      </c>
      <c r="B89" s="29">
        <v>12150.1</v>
      </c>
      <c r="C89" s="29">
        <v>11623.8</v>
      </c>
    </row>
    <row r="90" spans="1:3" x14ac:dyDescent="0.25">
      <c r="A90" s="27">
        <v>1236</v>
      </c>
      <c r="B90" s="29">
        <v>12130.16</v>
      </c>
      <c r="C90" s="29">
        <v>11578.88</v>
      </c>
    </row>
    <row r="91" spans="1:3" x14ac:dyDescent="0.25">
      <c r="A91" s="27">
        <v>1237</v>
      </c>
      <c r="B91" s="29">
        <v>12110.22</v>
      </c>
      <c r="C91" s="29">
        <v>11533.96</v>
      </c>
    </row>
    <row r="92" spans="1:3" x14ac:dyDescent="0.25">
      <c r="A92" s="27">
        <v>1238</v>
      </c>
      <c r="B92" s="29">
        <v>12090.28</v>
      </c>
      <c r="C92" s="29">
        <v>11489.04</v>
      </c>
    </row>
    <row r="93" spans="1:3" x14ac:dyDescent="0.25">
      <c r="A93" s="27">
        <v>1239</v>
      </c>
      <c r="B93" s="29">
        <v>12070.34</v>
      </c>
      <c r="C93" s="29">
        <v>11444.12</v>
      </c>
    </row>
    <row r="94" spans="1:3" x14ac:dyDescent="0.25">
      <c r="A94" s="27">
        <v>1240</v>
      </c>
      <c r="B94" s="29">
        <v>12050.4</v>
      </c>
      <c r="C94" s="29">
        <v>11399.2</v>
      </c>
    </row>
    <row r="95" spans="1:3" x14ac:dyDescent="0.25">
      <c r="A95" s="27">
        <v>1241</v>
      </c>
      <c r="B95" s="29">
        <v>12030.46</v>
      </c>
      <c r="C95" s="29">
        <v>11354.28</v>
      </c>
    </row>
    <row r="96" spans="1:3" x14ac:dyDescent="0.25">
      <c r="A96" s="27">
        <v>1242</v>
      </c>
      <c r="B96" s="29">
        <v>12010.52</v>
      </c>
      <c r="C96" s="29">
        <v>11309.36</v>
      </c>
    </row>
    <row r="97" spans="1:3" x14ac:dyDescent="0.25">
      <c r="A97" s="27">
        <v>1243</v>
      </c>
      <c r="B97" s="29">
        <v>11990.58</v>
      </c>
      <c r="C97" s="29">
        <v>11264.44</v>
      </c>
    </row>
    <row r="98" spans="1:3" x14ac:dyDescent="0.25">
      <c r="A98" s="27">
        <v>1244</v>
      </c>
      <c r="B98" s="29">
        <v>11970.64</v>
      </c>
      <c r="C98" s="29">
        <v>11219.52</v>
      </c>
    </row>
    <row r="99" spans="1:3" x14ac:dyDescent="0.25">
      <c r="A99" s="27">
        <v>1245</v>
      </c>
      <c r="B99" s="29">
        <v>11950.7</v>
      </c>
      <c r="C99" s="29">
        <v>11174.6</v>
      </c>
    </row>
    <row r="100" spans="1:3" x14ac:dyDescent="0.25">
      <c r="A100" s="27">
        <v>1246</v>
      </c>
      <c r="B100" s="29">
        <v>11930.76</v>
      </c>
      <c r="C100" s="29">
        <v>11129.68</v>
      </c>
    </row>
    <row r="101" spans="1:3" x14ac:dyDescent="0.25">
      <c r="A101" s="27">
        <v>1247</v>
      </c>
      <c r="B101" s="29">
        <v>11910.82</v>
      </c>
      <c r="C101" s="29">
        <v>11084.76</v>
      </c>
    </row>
    <row r="102" spans="1:3" x14ac:dyDescent="0.25">
      <c r="A102" s="27">
        <v>1248</v>
      </c>
      <c r="B102" s="29">
        <v>11890.88</v>
      </c>
      <c r="C102" s="29">
        <v>11039.84</v>
      </c>
    </row>
    <row r="103" spans="1:3" x14ac:dyDescent="0.25">
      <c r="A103" s="27">
        <v>1249</v>
      </c>
      <c r="B103" s="29">
        <v>11870.94</v>
      </c>
      <c r="C103" s="29">
        <v>10994.92</v>
      </c>
    </row>
    <row r="104" spans="1:3" x14ac:dyDescent="0.25">
      <c r="A104" s="28">
        <v>1250</v>
      </c>
      <c r="B104" s="28">
        <v>11851</v>
      </c>
      <c r="C104" s="28">
        <v>10950</v>
      </c>
    </row>
    <row r="105" spans="1:3" x14ac:dyDescent="0.25">
      <c r="A105" s="27">
        <v>1251</v>
      </c>
      <c r="B105" s="29">
        <v>11830.1</v>
      </c>
      <c r="C105" s="29">
        <v>10925</v>
      </c>
    </row>
    <row r="106" spans="1:3" x14ac:dyDescent="0.25">
      <c r="A106" s="27">
        <v>1252</v>
      </c>
      <c r="B106" s="29">
        <v>11809.2</v>
      </c>
      <c r="C106" s="29">
        <v>10900</v>
      </c>
    </row>
    <row r="107" spans="1:3" x14ac:dyDescent="0.25">
      <c r="A107" s="27">
        <v>1253</v>
      </c>
      <c r="B107" s="29">
        <v>11788.3</v>
      </c>
      <c r="C107" s="29">
        <v>10875</v>
      </c>
    </row>
    <row r="108" spans="1:3" x14ac:dyDescent="0.25">
      <c r="A108" s="27">
        <v>1254</v>
      </c>
      <c r="B108" s="29">
        <v>11767.4</v>
      </c>
      <c r="C108" s="29">
        <v>10850</v>
      </c>
    </row>
    <row r="109" spans="1:3" x14ac:dyDescent="0.25">
      <c r="A109" s="27">
        <v>1255</v>
      </c>
      <c r="B109" s="29">
        <v>11746.5</v>
      </c>
      <c r="C109" s="29">
        <v>10825</v>
      </c>
    </row>
    <row r="110" spans="1:3" x14ac:dyDescent="0.25">
      <c r="A110" s="27">
        <v>1256</v>
      </c>
      <c r="B110" s="29">
        <v>11725.6</v>
      </c>
      <c r="C110" s="29">
        <v>10800</v>
      </c>
    </row>
    <row r="111" spans="1:3" x14ac:dyDescent="0.25">
      <c r="A111" s="27">
        <v>1257</v>
      </c>
      <c r="B111" s="29">
        <v>11704.7</v>
      </c>
      <c r="C111" s="29">
        <v>10775</v>
      </c>
    </row>
    <row r="112" spans="1:3" x14ac:dyDescent="0.25">
      <c r="A112" s="27">
        <v>1258</v>
      </c>
      <c r="B112" s="29">
        <v>11683.8</v>
      </c>
      <c r="C112" s="29">
        <v>10750</v>
      </c>
    </row>
    <row r="113" spans="1:3" x14ac:dyDescent="0.25">
      <c r="A113" s="27">
        <v>1259</v>
      </c>
      <c r="B113" s="29">
        <v>11662.9</v>
      </c>
      <c r="C113" s="29">
        <v>10725</v>
      </c>
    </row>
    <row r="114" spans="1:3" x14ac:dyDescent="0.25">
      <c r="A114" s="27">
        <v>1260</v>
      </c>
      <c r="B114" s="29">
        <v>11642</v>
      </c>
      <c r="C114" s="29">
        <v>10700</v>
      </c>
    </row>
    <row r="115" spans="1:3" x14ac:dyDescent="0.25">
      <c r="A115" s="27">
        <v>1261</v>
      </c>
      <c r="B115" s="29">
        <v>11621.1</v>
      </c>
      <c r="C115" s="29">
        <v>10675</v>
      </c>
    </row>
    <row r="116" spans="1:3" x14ac:dyDescent="0.25">
      <c r="A116" s="27">
        <v>1262</v>
      </c>
      <c r="B116" s="29">
        <v>11600.2</v>
      </c>
      <c r="C116" s="29">
        <v>10650</v>
      </c>
    </row>
    <row r="117" spans="1:3" x14ac:dyDescent="0.25">
      <c r="A117" s="27">
        <v>1263</v>
      </c>
      <c r="B117" s="29">
        <v>11579.3</v>
      </c>
      <c r="C117" s="29">
        <v>10625</v>
      </c>
    </row>
    <row r="118" spans="1:3" x14ac:dyDescent="0.25">
      <c r="A118" s="27">
        <v>1264</v>
      </c>
      <c r="B118" s="29">
        <v>11558.4</v>
      </c>
      <c r="C118" s="29">
        <v>10600</v>
      </c>
    </row>
    <row r="119" spans="1:3" x14ac:dyDescent="0.25">
      <c r="A119" s="27">
        <v>1265</v>
      </c>
      <c r="B119" s="29">
        <v>11537.5</v>
      </c>
      <c r="C119" s="29">
        <v>10575</v>
      </c>
    </row>
    <row r="120" spans="1:3" x14ac:dyDescent="0.25">
      <c r="A120" s="27">
        <v>1266</v>
      </c>
      <c r="B120" s="29">
        <v>11516.6</v>
      </c>
      <c r="C120" s="29">
        <v>10550</v>
      </c>
    </row>
    <row r="121" spans="1:3" x14ac:dyDescent="0.25">
      <c r="A121" s="27">
        <v>1267</v>
      </c>
      <c r="B121" s="29">
        <v>11495.7</v>
      </c>
      <c r="C121" s="29">
        <v>10525</v>
      </c>
    </row>
    <row r="122" spans="1:3" x14ac:dyDescent="0.25">
      <c r="A122" s="27">
        <v>1268</v>
      </c>
      <c r="B122" s="29">
        <v>11474.8</v>
      </c>
      <c r="C122" s="29">
        <v>10500</v>
      </c>
    </row>
    <row r="123" spans="1:3" x14ac:dyDescent="0.25">
      <c r="A123" s="27">
        <v>1269</v>
      </c>
      <c r="B123" s="29">
        <v>11453.9</v>
      </c>
      <c r="C123" s="29">
        <v>10475</v>
      </c>
    </row>
    <row r="124" spans="1:3" x14ac:dyDescent="0.25">
      <c r="A124" s="27">
        <v>1270</v>
      </c>
      <c r="B124" s="29">
        <v>11433</v>
      </c>
      <c r="C124" s="29">
        <v>10450</v>
      </c>
    </row>
    <row r="125" spans="1:3" x14ac:dyDescent="0.25">
      <c r="A125" s="27">
        <v>1271</v>
      </c>
      <c r="B125" s="29">
        <v>11412.1</v>
      </c>
      <c r="C125" s="29">
        <v>10425</v>
      </c>
    </row>
    <row r="126" spans="1:3" x14ac:dyDescent="0.25">
      <c r="A126" s="27">
        <v>1272</v>
      </c>
      <c r="B126" s="29">
        <v>11391.2</v>
      </c>
      <c r="C126" s="29">
        <v>10400</v>
      </c>
    </row>
    <row r="127" spans="1:3" x14ac:dyDescent="0.25">
      <c r="A127" s="27">
        <v>1273</v>
      </c>
      <c r="B127" s="29">
        <v>11370.3</v>
      </c>
      <c r="C127" s="29">
        <v>10375</v>
      </c>
    </row>
    <row r="128" spans="1:3" x14ac:dyDescent="0.25">
      <c r="A128" s="27">
        <v>1274</v>
      </c>
      <c r="B128" s="29">
        <v>11349.4</v>
      </c>
      <c r="C128" s="29">
        <v>10350</v>
      </c>
    </row>
    <row r="129" spans="1:3" x14ac:dyDescent="0.25">
      <c r="A129" s="27">
        <v>1275</v>
      </c>
      <c r="B129" s="29">
        <v>11328.5</v>
      </c>
      <c r="C129" s="29">
        <v>10325</v>
      </c>
    </row>
    <row r="130" spans="1:3" x14ac:dyDescent="0.25">
      <c r="A130" s="27">
        <v>1276</v>
      </c>
      <c r="B130" s="29">
        <v>11307.6</v>
      </c>
      <c r="C130" s="29">
        <v>10300</v>
      </c>
    </row>
    <row r="131" spans="1:3" x14ac:dyDescent="0.25">
      <c r="A131" s="27">
        <v>1277</v>
      </c>
      <c r="B131" s="29">
        <v>11286.7</v>
      </c>
      <c r="C131" s="29">
        <v>10275</v>
      </c>
    </row>
    <row r="132" spans="1:3" x14ac:dyDescent="0.25">
      <c r="A132" s="27">
        <v>1278</v>
      </c>
      <c r="B132" s="29">
        <v>11265.8</v>
      </c>
      <c r="C132" s="29">
        <v>10250</v>
      </c>
    </row>
    <row r="133" spans="1:3" x14ac:dyDescent="0.25">
      <c r="A133" s="27">
        <v>1279</v>
      </c>
      <c r="B133" s="29">
        <v>11244.9</v>
      </c>
      <c r="C133" s="29">
        <v>10225</v>
      </c>
    </row>
    <row r="134" spans="1:3" x14ac:dyDescent="0.25">
      <c r="A134" s="27">
        <v>1280</v>
      </c>
      <c r="B134" s="29">
        <v>11224</v>
      </c>
      <c r="C134" s="29">
        <v>10200</v>
      </c>
    </row>
    <row r="135" spans="1:3" x14ac:dyDescent="0.25">
      <c r="A135" s="27">
        <v>1281</v>
      </c>
      <c r="B135" s="29">
        <v>11203.1</v>
      </c>
      <c r="C135" s="29">
        <v>10175</v>
      </c>
    </row>
    <row r="136" spans="1:3" x14ac:dyDescent="0.25">
      <c r="A136" s="27">
        <v>1282</v>
      </c>
      <c r="B136" s="29">
        <v>11182.2</v>
      </c>
      <c r="C136" s="29">
        <v>10150</v>
      </c>
    </row>
    <row r="137" spans="1:3" x14ac:dyDescent="0.25">
      <c r="A137" s="27">
        <v>1283</v>
      </c>
      <c r="B137" s="29">
        <v>11161.3</v>
      </c>
      <c r="C137" s="29">
        <v>10125</v>
      </c>
    </row>
    <row r="138" spans="1:3" x14ac:dyDescent="0.25">
      <c r="A138" s="27">
        <v>1284</v>
      </c>
      <c r="B138" s="29">
        <v>11140.4</v>
      </c>
      <c r="C138" s="29">
        <v>10100</v>
      </c>
    </row>
    <row r="139" spans="1:3" x14ac:dyDescent="0.25">
      <c r="A139" s="27">
        <v>1285</v>
      </c>
      <c r="B139" s="29">
        <v>11119.5</v>
      </c>
      <c r="C139" s="29">
        <v>10075</v>
      </c>
    </row>
    <row r="140" spans="1:3" x14ac:dyDescent="0.25">
      <c r="A140" s="27">
        <v>1286</v>
      </c>
      <c r="B140" s="29">
        <v>11098.6</v>
      </c>
      <c r="C140" s="29">
        <v>10050</v>
      </c>
    </row>
    <row r="141" spans="1:3" x14ac:dyDescent="0.25">
      <c r="A141" s="27">
        <v>1287</v>
      </c>
      <c r="B141" s="29">
        <v>11077.7</v>
      </c>
      <c r="C141" s="29">
        <v>10025</v>
      </c>
    </row>
    <row r="142" spans="1:3" x14ac:dyDescent="0.25">
      <c r="A142" s="27">
        <v>1288</v>
      </c>
      <c r="B142" s="29">
        <v>11056.8</v>
      </c>
      <c r="C142" s="29">
        <v>10000</v>
      </c>
    </row>
    <row r="143" spans="1:3" x14ac:dyDescent="0.25">
      <c r="A143" s="27">
        <v>1289</v>
      </c>
      <c r="B143" s="29">
        <v>11035.9</v>
      </c>
      <c r="C143" s="29">
        <v>9975</v>
      </c>
    </row>
    <row r="144" spans="1:3" x14ac:dyDescent="0.25">
      <c r="A144" s="27">
        <v>1290</v>
      </c>
      <c r="B144" s="29">
        <v>11015</v>
      </c>
      <c r="C144" s="29">
        <v>9950</v>
      </c>
    </row>
    <row r="145" spans="1:3" x14ac:dyDescent="0.25">
      <c r="A145" s="27">
        <v>1291</v>
      </c>
      <c r="B145" s="29">
        <v>10994.1</v>
      </c>
      <c r="C145" s="29">
        <v>9925</v>
      </c>
    </row>
    <row r="146" spans="1:3" x14ac:dyDescent="0.25">
      <c r="A146" s="27">
        <v>1292</v>
      </c>
      <c r="B146" s="29">
        <v>10973.2</v>
      </c>
      <c r="C146" s="29">
        <v>9900</v>
      </c>
    </row>
    <row r="147" spans="1:3" x14ac:dyDescent="0.25">
      <c r="A147" s="27">
        <v>1293</v>
      </c>
      <c r="B147" s="29">
        <v>10952.3</v>
      </c>
      <c r="C147" s="29">
        <v>9875</v>
      </c>
    </row>
    <row r="148" spans="1:3" x14ac:dyDescent="0.25">
      <c r="A148" s="27">
        <v>1294</v>
      </c>
      <c r="B148" s="29">
        <v>10931.4</v>
      </c>
      <c r="C148" s="29">
        <v>9850</v>
      </c>
    </row>
    <row r="149" spans="1:3" x14ac:dyDescent="0.25">
      <c r="A149" s="27">
        <v>1295</v>
      </c>
      <c r="B149" s="29">
        <v>10910.5</v>
      </c>
      <c r="C149" s="29">
        <v>9825</v>
      </c>
    </row>
    <row r="150" spans="1:3" x14ac:dyDescent="0.25">
      <c r="A150" s="27">
        <v>1296</v>
      </c>
      <c r="B150" s="29">
        <v>10889.6</v>
      </c>
      <c r="C150" s="29">
        <v>9800</v>
      </c>
    </row>
    <row r="151" spans="1:3" x14ac:dyDescent="0.25">
      <c r="A151" s="27">
        <v>1297</v>
      </c>
      <c r="B151" s="29">
        <v>10868.7</v>
      </c>
      <c r="C151" s="29">
        <v>9775</v>
      </c>
    </row>
    <row r="152" spans="1:3" x14ac:dyDescent="0.25">
      <c r="A152" s="27">
        <v>1298</v>
      </c>
      <c r="B152" s="29">
        <v>10847.8</v>
      </c>
      <c r="C152" s="29">
        <v>9750</v>
      </c>
    </row>
    <row r="153" spans="1:3" x14ac:dyDescent="0.25">
      <c r="A153" s="27">
        <v>1299</v>
      </c>
      <c r="B153" s="29">
        <v>10826.9</v>
      </c>
      <c r="C153" s="29">
        <v>9725</v>
      </c>
    </row>
    <row r="154" spans="1:3" x14ac:dyDescent="0.25">
      <c r="A154" s="28">
        <v>1300</v>
      </c>
      <c r="B154" s="28">
        <v>10806</v>
      </c>
      <c r="C154" s="28">
        <v>9700</v>
      </c>
    </row>
    <row r="155" spans="1:3" x14ac:dyDescent="0.25">
      <c r="A155" s="27">
        <v>1301</v>
      </c>
      <c r="B155" s="29">
        <v>10785.88</v>
      </c>
      <c r="C155" s="29">
        <v>9681.52</v>
      </c>
    </row>
    <row r="156" spans="1:3" x14ac:dyDescent="0.25">
      <c r="A156" s="27">
        <v>1302</v>
      </c>
      <c r="B156" s="29">
        <v>10765.76</v>
      </c>
      <c r="C156" s="29">
        <v>9663.0400000000009</v>
      </c>
    </row>
    <row r="157" spans="1:3" x14ac:dyDescent="0.25">
      <c r="A157" s="27">
        <v>1303</v>
      </c>
      <c r="B157" s="29">
        <v>10745.64</v>
      </c>
      <c r="C157" s="29">
        <v>9644.56</v>
      </c>
    </row>
    <row r="158" spans="1:3" x14ac:dyDescent="0.25">
      <c r="A158" s="27">
        <v>1304</v>
      </c>
      <c r="B158" s="29">
        <v>10725.52</v>
      </c>
      <c r="C158" s="29">
        <v>9626.08</v>
      </c>
    </row>
    <row r="159" spans="1:3" x14ac:dyDescent="0.25">
      <c r="A159" s="27">
        <v>1305</v>
      </c>
      <c r="B159" s="29">
        <v>10705.4</v>
      </c>
      <c r="C159" s="29">
        <v>9607.6</v>
      </c>
    </row>
    <row r="160" spans="1:3" x14ac:dyDescent="0.25">
      <c r="A160" s="27">
        <v>1306</v>
      </c>
      <c r="B160" s="29">
        <v>10685.28</v>
      </c>
      <c r="C160" s="29">
        <v>9589.1200000000008</v>
      </c>
    </row>
    <row r="161" spans="1:3" x14ac:dyDescent="0.25">
      <c r="A161" s="27">
        <v>1307</v>
      </c>
      <c r="B161" s="29">
        <v>10665.16</v>
      </c>
      <c r="C161" s="29">
        <v>9570.64</v>
      </c>
    </row>
    <row r="162" spans="1:3" x14ac:dyDescent="0.25">
      <c r="A162" s="27">
        <v>1308</v>
      </c>
      <c r="B162" s="29">
        <v>10645.04</v>
      </c>
      <c r="C162" s="29">
        <v>9552.16</v>
      </c>
    </row>
    <row r="163" spans="1:3" x14ac:dyDescent="0.25">
      <c r="A163" s="27">
        <v>1309</v>
      </c>
      <c r="B163" s="29">
        <v>10624.92</v>
      </c>
      <c r="C163" s="29">
        <v>9533.68</v>
      </c>
    </row>
    <row r="164" spans="1:3" x14ac:dyDescent="0.25">
      <c r="A164" s="27">
        <v>1310</v>
      </c>
      <c r="B164" s="29">
        <v>10604.8</v>
      </c>
      <c r="C164" s="29">
        <v>9515.2000000000007</v>
      </c>
    </row>
    <row r="165" spans="1:3" x14ac:dyDescent="0.25">
      <c r="A165" s="27">
        <v>1311</v>
      </c>
      <c r="B165" s="29">
        <v>10584.68</v>
      </c>
      <c r="C165" s="29">
        <v>9496.7199999999993</v>
      </c>
    </row>
    <row r="166" spans="1:3" x14ac:dyDescent="0.25">
      <c r="A166" s="27">
        <v>1312</v>
      </c>
      <c r="B166" s="29">
        <v>10564.56</v>
      </c>
      <c r="C166" s="29">
        <v>9478.2400000000107</v>
      </c>
    </row>
    <row r="167" spans="1:3" x14ac:dyDescent="0.25">
      <c r="A167" s="27">
        <v>1313</v>
      </c>
      <c r="B167" s="29">
        <v>10544.44</v>
      </c>
      <c r="C167" s="29">
        <v>9459.7600000000093</v>
      </c>
    </row>
    <row r="168" spans="1:3" x14ac:dyDescent="0.25">
      <c r="A168" s="27">
        <v>1314</v>
      </c>
      <c r="B168" s="29">
        <v>10524.32</v>
      </c>
      <c r="C168" s="29">
        <v>9441.2800000000097</v>
      </c>
    </row>
    <row r="169" spans="1:3" x14ac:dyDescent="0.25">
      <c r="A169" s="27">
        <v>1315</v>
      </c>
      <c r="B169" s="29">
        <v>10504.2</v>
      </c>
      <c r="C169" s="29">
        <v>9422.8000000000102</v>
      </c>
    </row>
    <row r="170" spans="1:3" x14ac:dyDescent="0.25">
      <c r="A170" s="27">
        <v>1316</v>
      </c>
      <c r="B170" s="29">
        <v>10484.08</v>
      </c>
      <c r="C170" s="29">
        <v>9404.3200000000106</v>
      </c>
    </row>
    <row r="171" spans="1:3" x14ac:dyDescent="0.25">
      <c r="A171" s="27">
        <v>1317</v>
      </c>
      <c r="B171" s="29">
        <v>10463.959999999999</v>
      </c>
      <c r="C171" s="29">
        <v>9385.8400000000092</v>
      </c>
    </row>
    <row r="172" spans="1:3" x14ac:dyDescent="0.25">
      <c r="A172" s="27">
        <v>1318</v>
      </c>
      <c r="B172" s="29">
        <v>10443.84</v>
      </c>
      <c r="C172" s="29">
        <v>9367.3600000000097</v>
      </c>
    </row>
    <row r="173" spans="1:3" x14ac:dyDescent="0.25">
      <c r="A173" s="27">
        <v>1319</v>
      </c>
      <c r="B173" s="29">
        <v>10423.719999999999</v>
      </c>
      <c r="C173" s="29">
        <v>9348.8800000000101</v>
      </c>
    </row>
    <row r="174" spans="1:3" x14ac:dyDescent="0.25">
      <c r="A174" s="27">
        <v>1320</v>
      </c>
      <c r="B174" s="29">
        <v>10403.6</v>
      </c>
      <c r="C174" s="29">
        <v>9330.4000000000106</v>
      </c>
    </row>
    <row r="175" spans="1:3" x14ac:dyDescent="0.25">
      <c r="A175" s="27">
        <v>1321</v>
      </c>
      <c r="B175" s="29">
        <v>10383.48</v>
      </c>
      <c r="C175" s="29">
        <v>9311.9200000000092</v>
      </c>
    </row>
    <row r="176" spans="1:3" x14ac:dyDescent="0.25">
      <c r="A176" s="27">
        <v>1322</v>
      </c>
      <c r="B176" s="29">
        <v>10363.36</v>
      </c>
      <c r="C176" s="29">
        <v>9293.4400000000096</v>
      </c>
    </row>
    <row r="177" spans="1:3" x14ac:dyDescent="0.25">
      <c r="A177" s="27">
        <v>1323</v>
      </c>
      <c r="B177" s="29">
        <v>10343.24</v>
      </c>
      <c r="C177" s="29">
        <v>9274.96000000001</v>
      </c>
    </row>
    <row r="178" spans="1:3" x14ac:dyDescent="0.25">
      <c r="A178" s="27">
        <v>1324</v>
      </c>
      <c r="B178" s="29">
        <v>10323.120000000001</v>
      </c>
      <c r="C178" s="29">
        <v>9256.4800000000105</v>
      </c>
    </row>
    <row r="179" spans="1:3" x14ac:dyDescent="0.25">
      <c r="A179" s="27">
        <v>1325</v>
      </c>
      <c r="B179" s="29">
        <v>10303</v>
      </c>
      <c r="C179" s="29">
        <v>9238.0000000000091</v>
      </c>
    </row>
    <row r="180" spans="1:3" x14ac:dyDescent="0.25">
      <c r="A180" s="27">
        <v>1326</v>
      </c>
      <c r="B180" s="29">
        <v>10282.879999999999</v>
      </c>
      <c r="C180" s="29">
        <v>9219.5200000000095</v>
      </c>
    </row>
    <row r="181" spans="1:3" x14ac:dyDescent="0.25">
      <c r="A181" s="27">
        <v>1327</v>
      </c>
      <c r="B181" s="29">
        <v>10262.76</v>
      </c>
      <c r="C181" s="29">
        <v>9201.04000000001</v>
      </c>
    </row>
    <row r="182" spans="1:3" x14ac:dyDescent="0.25">
      <c r="A182" s="27">
        <v>1328</v>
      </c>
      <c r="B182" s="29">
        <v>10242.64</v>
      </c>
      <c r="C182" s="29">
        <v>9182.5600000000104</v>
      </c>
    </row>
    <row r="183" spans="1:3" x14ac:dyDescent="0.25">
      <c r="A183" s="27">
        <v>1329</v>
      </c>
      <c r="B183" s="29">
        <v>10222.52</v>
      </c>
      <c r="C183" s="29">
        <v>9164.0800000000108</v>
      </c>
    </row>
    <row r="184" spans="1:3" x14ac:dyDescent="0.25">
      <c r="A184" s="27">
        <v>1330</v>
      </c>
      <c r="B184" s="29">
        <v>10202.4</v>
      </c>
      <c r="C184" s="29">
        <v>9145.6000000000095</v>
      </c>
    </row>
    <row r="185" spans="1:3" x14ac:dyDescent="0.25">
      <c r="A185" s="27">
        <v>1331</v>
      </c>
      <c r="B185" s="29">
        <v>10182.280000000001</v>
      </c>
      <c r="C185" s="29">
        <v>9127.1200000000099</v>
      </c>
    </row>
    <row r="186" spans="1:3" x14ac:dyDescent="0.25">
      <c r="A186" s="27">
        <v>1332</v>
      </c>
      <c r="B186" s="29">
        <v>10162.16</v>
      </c>
      <c r="C186" s="29">
        <v>9108.6400000000103</v>
      </c>
    </row>
    <row r="187" spans="1:3" x14ac:dyDescent="0.25">
      <c r="A187" s="27">
        <v>1333</v>
      </c>
      <c r="B187" s="29">
        <v>10142.040000000001</v>
      </c>
      <c r="C187" s="29">
        <v>9090.1600000000108</v>
      </c>
    </row>
    <row r="188" spans="1:3" x14ac:dyDescent="0.25">
      <c r="A188" s="27">
        <v>1334</v>
      </c>
      <c r="B188" s="29">
        <v>10121.92</v>
      </c>
      <c r="C188" s="29">
        <v>9071.6800000000094</v>
      </c>
    </row>
    <row r="189" spans="1:3" x14ac:dyDescent="0.25">
      <c r="A189" s="27">
        <v>1335</v>
      </c>
      <c r="B189" s="29">
        <v>10101.799999999999</v>
      </c>
      <c r="C189" s="29">
        <v>9053.2000000000207</v>
      </c>
    </row>
    <row r="190" spans="1:3" x14ac:dyDescent="0.25">
      <c r="A190" s="27">
        <v>1336</v>
      </c>
      <c r="B190" s="29">
        <v>10081.68</v>
      </c>
      <c r="C190" s="29">
        <v>9034.7200000000194</v>
      </c>
    </row>
    <row r="191" spans="1:3" x14ac:dyDescent="0.25">
      <c r="A191" s="27">
        <v>1337</v>
      </c>
      <c r="B191" s="29">
        <v>10061.56</v>
      </c>
      <c r="C191" s="29">
        <v>9016.2400000000198</v>
      </c>
    </row>
    <row r="192" spans="1:3" x14ac:dyDescent="0.25">
      <c r="A192" s="27">
        <v>1338</v>
      </c>
      <c r="B192" s="29">
        <v>10041.44</v>
      </c>
      <c r="C192" s="29">
        <v>8997.7600000000202</v>
      </c>
    </row>
    <row r="193" spans="1:3" x14ac:dyDescent="0.25">
      <c r="A193" s="27">
        <v>1339</v>
      </c>
      <c r="B193" s="29">
        <v>10021.32</v>
      </c>
      <c r="C193" s="29">
        <v>8979.2800000000207</v>
      </c>
    </row>
    <row r="194" spans="1:3" x14ac:dyDescent="0.25">
      <c r="A194" s="27">
        <v>1340</v>
      </c>
      <c r="B194" s="29">
        <v>10001.200000000001</v>
      </c>
      <c r="C194" s="29">
        <v>8960.8000000000193</v>
      </c>
    </row>
    <row r="195" spans="1:3" x14ac:dyDescent="0.25">
      <c r="A195" s="27">
        <v>1341</v>
      </c>
      <c r="B195" s="29">
        <v>9981.0799999999708</v>
      </c>
      <c r="C195" s="29">
        <v>8942.3200000000197</v>
      </c>
    </row>
    <row r="196" spans="1:3" x14ac:dyDescent="0.25">
      <c r="A196" s="27">
        <v>1342</v>
      </c>
      <c r="B196" s="29">
        <v>9960.95999999997</v>
      </c>
      <c r="C196" s="29">
        <v>8923.8400000000202</v>
      </c>
    </row>
    <row r="197" spans="1:3" x14ac:dyDescent="0.25">
      <c r="A197" s="27">
        <v>1343</v>
      </c>
      <c r="B197" s="29">
        <v>9940.8399999999692</v>
      </c>
      <c r="C197" s="29">
        <v>8905.3600000000206</v>
      </c>
    </row>
    <row r="198" spans="1:3" x14ac:dyDescent="0.25">
      <c r="A198" s="27">
        <v>1344</v>
      </c>
      <c r="B198" s="29">
        <v>9920.7199999999593</v>
      </c>
      <c r="C198" s="29">
        <v>8886.8800000000192</v>
      </c>
    </row>
    <row r="199" spans="1:3" x14ac:dyDescent="0.25">
      <c r="A199" s="27">
        <v>1345</v>
      </c>
      <c r="B199" s="29">
        <v>9900.5999999999603</v>
      </c>
      <c r="C199" s="29">
        <v>8868.4000000000196</v>
      </c>
    </row>
    <row r="200" spans="1:3" x14ac:dyDescent="0.25">
      <c r="A200" s="27">
        <v>1346</v>
      </c>
      <c r="B200" s="29">
        <v>9880.4799999999595</v>
      </c>
      <c r="C200" s="29">
        <v>8849.9200000000201</v>
      </c>
    </row>
    <row r="201" spans="1:3" x14ac:dyDescent="0.25">
      <c r="A201" s="27">
        <v>1347</v>
      </c>
      <c r="B201" s="29">
        <v>9860.3599999999606</v>
      </c>
      <c r="C201" s="29">
        <v>8831.4400000000205</v>
      </c>
    </row>
    <row r="202" spans="1:3" x14ac:dyDescent="0.25">
      <c r="A202" s="27">
        <v>1348</v>
      </c>
      <c r="B202" s="29">
        <v>9840.2399999999598</v>
      </c>
      <c r="C202" s="29">
        <v>8812.9600000000191</v>
      </c>
    </row>
    <row r="203" spans="1:3" x14ac:dyDescent="0.25">
      <c r="A203" s="27">
        <v>1349</v>
      </c>
      <c r="B203" s="29">
        <v>9820.1199999999608</v>
      </c>
      <c r="C203" s="29">
        <v>8794.4800000000196</v>
      </c>
    </row>
    <row r="204" spans="1:3" x14ac:dyDescent="0.25">
      <c r="A204" s="28">
        <v>1350</v>
      </c>
      <c r="B204" s="28">
        <v>9800</v>
      </c>
      <c r="C204" s="28">
        <v>8776</v>
      </c>
    </row>
    <row r="205" spans="1:3" x14ac:dyDescent="0.25">
      <c r="A205" s="27">
        <v>1351</v>
      </c>
      <c r="B205" s="29">
        <v>9781.2000000000007</v>
      </c>
      <c r="C205" s="29">
        <v>8757.5</v>
      </c>
    </row>
    <row r="206" spans="1:3" x14ac:dyDescent="0.25">
      <c r="A206" s="27">
        <v>1352</v>
      </c>
      <c r="B206" s="29">
        <v>9762.4</v>
      </c>
      <c r="C206" s="29">
        <v>8739</v>
      </c>
    </row>
    <row r="207" spans="1:3" x14ac:dyDescent="0.25">
      <c r="A207" s="27">
        <v>1353</v>
      </c>
      <c r="B207" s="29">
        <v>9743.6</v>
      </c>
      <c r="C207" s="29">
        <v>8720.5</v>
      </c>
    </row>
    <row r="208" spans="1:3" x14ac:dyDescent="0.25">
      <c r="A208" s="27">
        <v>1354</v>
      </c>
      <c r="B208" s="29">
        <v>9724.7999999999993</v>
      </c>
      <c r="C208" s="29">
        <v>8702</v>
      </c>
    </row>
    <row r="209" spans="1:3" x14ac:dyDescent="0.25">
      <c r="A209" s="27">
        <v>1355</v>
      </c>
      <c r="B209" s="29">
        <v>9706</v>
      </c>
      <c r="C209" s="29">
        <v>8683.5</v>
      </c>
    </row>
    <row r="210" spans="1:3" x14ac:dyDescent="0.25">
      <c r="A210" s="27">
        <v>1356</v>
      </c>
      <c r="B210" s="29">
        <v>9687.2000000000007</v>
      </c>
      <c r="C210" s="29">
        <v>8665</v>
      </c>
    </row>
    <row r="211" spans="1:3" x14ac:dyDescent="0.25">
      <c r="A211" s="27">
        <v>1357</v>
      </c>
      <c r="B211" s="29">
        <v>9668.4000000000106</v>
      </c>
      <c r="C211" s="29">
        <v>8646.5</v>
      </c>
    </row>
    <row r="212" spans="1:3" x14ac:dyDescent="0.25">
      <c r="A212" s="27">
        <v>1358</v>
      </c>
      <c r="B212" s="29">
        <v>9649.6000000000095</v>
      </c>
      <c r="C212" s="29">
        <v>8628</v>
      </c>
    </row>
    <row r="213" spans="1:3" x14ac:dyDescent="0.25">
      <c r="A213" s="27">
        <v>1359</v>
      </c>
      <c r="B213" s="29">
        <v>9630.8000000000102</v>
      </c>
      <c r="C213" s="29">
        <v>8609.5</v>
      </c>
    </row>
    <row r="214" spans="1:3" x14ac:dyDescent="0.25">
      <c r="A214" s="27">
        <v>1360</v>
      </c>
      <c r="B214" s="29">
        <v>9612.0000000000091</v>
      </c>
      <c r="C214" s="29">
        <v>8591</v>
      </c>
    </row>
    <row r="215" spans="1:3" x14ac:dyDescent="0.25">
      <c r="A215" s="27">
        <v>1361</v>
      </c>
      <c r="B215" s="29">
        <v>9593.2000000000098</v>
      </c>
      <c r="C215" s="29">
        <v>8572.5</v>
      </c>
    </row>
    <row r="216" spans="1:3" x14ac:dyDescent="0.25">
      <c r="A216" s="27">
        <v>1362</v>
      </c>
      <c r="B216" s="29">
        <v>9574.4000000000106</v>
      </c>
      <c r="C216" s="29">
        <v>8554</v>
      </c>
    </row>
    <row r="217" spans="1:3" x14ac:dyDescent="0.25">
      <c r="A217" s="27">
        <v>1363</v>
      </c>
      <c r="B217" s="29">
        <v>9555.6000000000095</v>
      </c>
      <c r="C217" s="29">
        <v>8535.5</v>
      </c>
    </row>
    <row r="218" spans="1:3" x14ac:dyDescent="0.25">
      <c r="A218" s="27">
        <v>1364</v>
      </c>
      <c r="B218" s="29">
        <v>9536.8000000000102</v>
      </c>
      <c r="C218" s="29">
        <v>8517</v>
      </c>
    </row>
    <row r="219" spans="1:3" x14ac:dyDescent="0.25">
      <c r="A219" s="27">
        <v>1365</v>
      </c>
      <c r="B219" s="29">
        <v>9518.0000000000091</v>
      </c>
      <c r="C219" s="29">
        <v>8498.5</v>
      </c>
    </row>
    <row r="220" spans="1:3" x14ac:dyDescent="0.25">
      <c r="A220" s="27">
        <v>1366</v>
      </c>
      <c r="B220" s="29">
        <v>9499.2000000000098</v>
      </c>
      <c r="C220" s="29">
        <v>8480</v>
      </c>
    </row>
    <row r="221" spans="1:3" x14ac:dyDescent="0.25">
      <c r="A221" s="27">
        <v>1367</v>
      </c>
      <c r="B221" s="29">
        <v>9480.4000000000106</v>
      </c>
      <c r="C221" s="29">
        <v>8461.5</v>
      </c>
    </row>
    <row r="222" spans="1:3" x14ac:dyDescent="0.25">
      <c r="A222" s="27">
        <v>1368</v>
      </c>
      <c r="B222" s="29">
        <v>9461.6000000000095</v>
      </c>
      <c r="C222" s="29">
        <v>8443</v>
      </c>
    </row>
    <row r="223" spans="1:3" x14ac:dyDescent="0.25">
      <c r="A223" s="27">
        <v>1369</v>
      </c>
      <c r="B223" s="29">
        <v>9442.8000000000102</v>
      </c>
      <c r="C223" s="29">
        <v>8424.5</v>
      </c>
    </row>
    <row r="224" spans="1:3" x14ac:dyDescent="0.25">
      <c r="A224" s="28">
        <v>1370</v>
      </c>
      <c r="B224" s="28">
        <v>9424</v>
      </c>
      <c r="C224" s="28">
        <v>8406</v>
      </c>
    </row>
  </sheetData>
  <sheetProtection algorithmName="SHA-512" hashValue="F0Tb9dTnBAzt6wWeBOc5KB6mqPCnNBIMfU/KCrHvakUaV1o8pMNKyobZnhSzYmi4+NiRuEWWyeXvuJfoiVjfuw==" saltValue="TvdHJw+3blomuz0Wys0Wyw==" spinCount="100000" sheet="1" objects="1" scenarios="1" selectLockedCells="1" selectUnlockedCells="1"/>
  <mergeCells count="16">
    <mergeCell ref="A1:C1"/>
    <mergeCell ref="F9:G9"/>
    <mergeCell ref="F10:G10"/>
    <mergeCell ref="I10:J10"/>
    <mergeCell ref="L10:M10"/>
    <mergeCell ref="L9:M9"/>
    <mergeCell ref="E1:L1"/>
    <mergeCell ref="H15:K15"/>
    <mergeCell ref="H17:K17"/>
    <mergeCell ref="H18:K18"/>
    <mergeCell ref="E5:N6"/>
    <mergeCell ref="F12:G12"/>
    <mergeCell ref="I12:J12"/>
    <mergeCell ref="L12:M12"/>
    <mergeCell ref="E15:E16"/>
    <mergeCell ref="E17:E19"/>
  </mergeCells>
  <conditionalFormatting sqref="F10">
    <cfRule type="cellIs" dxfId="3" priority="7" operator="equal">
      <formula>FALSE</formula>
    </cfRule>
    <cfRule type="cellIs" dxfId="2" priority="8" operator="equal">
      <formula>TRUE</formula>
    </cfRule>
  </conditionalFormatting>
  <conditionalFormatting sqref="I10 L10">
    <cfRule type="cellIs" dxfId="1" priority="5" operator="equal">
      <formula>TRUE</formula>
    </cfRule>
    <cfRule type="cellIs" dxfId="0" priority="6" operator="equal">
      <formula>FALSE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1:BK40"/>
  <sheetViews>
    <sheetView zoomScaleNormal="100" workbookViewId="0">
      <selection activeCell="I5" sqref="I5"/>
    </sheetView>
  </sheetViews>
  <sheetFormatPr baseColWidth="10" defaultColWidth="10.7109375" defaultRowHeight="15" x14ac:dyDescent="0.25"/>
  <sheetData>
    <row r="1" spans="1:63" x14ac:dyDescent="0.25">
      <c r="A1" t="s">
        <v>259</v>
      </c>
      <c r="D1">
        <f>IF('R22 beta II'!Q14&gt;0,(ROUND(2*(('R22 beta II'!Q12-('R22 beta II'!Q13-1013)*'Perfo HOGE'!S25)/1000),0)/2)*1000,(ROUND(2*(('R22 beta II'!Q12-('R22 beta II'!Q13-1013)*SpecData!E38)/1000),0)/2)*1000)</f>
        <v>1500</v>
      </c>
      <c r="E1" t="s">
        <v>25</v>
      </c>
      <c r="G1" t="s">
        <v>260</v>
      </c>
      <c r="I1">
        <f>'R22 beta II'!R9+22</f>
        <v>34</v>
      </c>
    </row>
    <row r="2" spans="1:63" x14ac:dyDescent="0.25">
      <c r="A2" t="s">
        <v>261</v>
      </c>
      <c r="D2">
        <f>(ROUND(2*('Perfo HOGE'!J23/1000),0)/2)*1000</f>
        <v>8500</v>
      </c>
      <c r="E2" t="s">
        <v>25</v>
      </c>
      <c r="G2" t="s">
        <v>260</v>
      </c>
      <c r="I2" s="70">
        <f>(15-ROUND('R22 beta II'!Q19/1000*2,0))+'R22 beta II'!R10+22</f>
        <v>20.164000000000001</v>
      </c>
    </row>
    <row r="3" spans="1:63" x14ac:dyDescent="0.25">
      <c r="A3" s="673" t="s">
        <v>262</v>
      </c>
      <c r="B3" s="673"/>
      <c r="C3" s="673"/>
      <c r="D3">
        <f>(ROUND(2*('Perfo HIGE'!I16/1000),0)/2)*1000</f>
        <v>12000</v>
      </c>
      <c r="E3" t="s">
        <v>25</v>
      </c>
      <c r="G3" s="673" t="s">
        <v>260</v>
      </c>
      <c r="H3" s="673"/>
      <c r="I3" s="70">
        <f>(15-ROUND('R22 beta II'!Q18/1000*2,0))+'R22 beta II'!R10+22</f>
        <v>13.164</v>
      </c>
    </row>
    <row r="4" spans="1:63" x14ac:dyDescent="0.25">
      <c r="A4" s="258" t="s">
        <v>263</v>
      </c>
      <c r="B4" s="258"/>
      <c r="C4" s="258"/>
      <c r="D4" s="259">
        <v>5000</v>
      </c>
      <c r="E4" s="259" t="s">
        <v>25</v>
      </c>
      <c r="F4" s="259"/>
      <c r="G4" s="258" t="s">
        <v>260</v>
      </c>
      <c r="H4" s="258"/>
      <c r="I4" s="260">
        <f>15-(D4/1000*2)+PreFlightMOU!E7+22</f>
        <v>27</v>
      </c>
    </row>
    <row r="5" spans="1:63" x14ac:dyDescent="0.25">
      <c r="A5" s="291" t="s">
        <v>264</v>
      </c>
      <c r="B5" s="291"/>
      <c r="C5" s="291"/>
      <c r="D5">
        <v>10000</v>
      </c>
      <c r="E5" t="s">
        <v>25</v>
      </c>
      <c r="G5" s="291" t="s">
        <v>260</v>
      </c>
      <c r="H5" s="291"/>
      <c r="I5" s="70">
        <f>15-(D5/1000*2)+PreFlightMOU!E7+22</f>
        <v>17</v>
      </c>
    </row>
    <row r="6" spans="1:63" x14ac:dyDescent="0.25">
      <c r="A6" s="291"/>
      <c r="B6" s="291"/>
      <c r="C6" s="291"/>
      <c r="G6" s="291"/>
      <c r="H6" s="291"/>
      <c r="I6" s="70"/>
    </row>
    <row r="7" spans="1:63" x14ac:dyDescent="0.25">
      <c r="A7" s="73" t="s">
        <v>265</v>
      </c>
      <c r="B7" s="669" t="s">
        <v>266</v>
      </c>
      <c r="C7" s="670"/>
      <c r="D7" s="670"/>
      <c r="E7" s="670"/>
      <c r="F7" s="670"/>
      <c r="G7" s="670"/>
      <c r="H7" s="670"/>
      <c r="I7" s="670"/>
      <c r="J7" s="670"/>
      <c r="K7" s="670"/>
      <c r="L7" s="670"/>
      <c r="M7" s="670"/>
      <c r="N7" s="670"/>
      <c r="O7" s="670"/>
      <c r="P7" s="670"/>
      <c r="Q7" s="670"/>
      <c r="R7" s="670"/>
      <c r="S7" s="670"/>
      <c r="T7" s="670"/>
      <c r="U7" s="670"/>
      <c r="V7" s="670"/>
      <c r="W7" s="670"/>
      <c r="X7" s="670"/>
      <c r="Y7" s="670"/>
      <c r="Z7" s="670"/>
      <c r="AA7" s="670"/>
      <c r="AB7" s="670"/>
      <c r="AC7" s="670"/>
      <c r="AD7" s="670"/>
      <c r="AE7" s="670"/>
      <c r="AF7" s="670"/>
      <c r="AG7" s="670"/>
      <c r="AH7" s="670"/>
      <c r="AI7" s="670"/>
      <c r="AJ7" s="670"/>
      <c r="AK7" s="670"/>
      <c r="AL7" s="670"/>
      <c r="AM7" s="670"/>
      <c r="AN7" s="670"/>
      <c r="AO7" s="670"/>
      <c r="AP7" s="670"/>
      <c r="AQ7" s="670"/>
      <c r="AR7" s="670"/>
      <c r="AS7" s="670"/>
      <c r="AT7" s="670"/>
      <c r="AU7" s="670"/>
      <c r="AV7" s="670"/>
      <c r="AW7" s="670"/>
      <c r="AX7" s="670"/>
      <c r="AY7" s="670"/>
      <c r="AZ7" s="670"/>
      <c r="BA7" s="670"/>
      <c r="BB7" s="670"/>
      <c r="BC7" s="670"/>
      <c r="BD7" s="670"/>
      <c r="BE7" s="670"/>
      <c r="BF7" s="670"/>
      <c r="BG7" s="670"/>
      <c r="BH7" s="670"/>
      <c r="BI7" s="670"/>
      <c r="BJ7" s="671"/>
      <c r="BK7" s="672" t="s">
        <v>267</v>
      </c>
    </row>
    <row r="8" spans="1:63" x14ac:dyDescent="0.25">
      <c r="A8" s="12" t="s">
        <v>268</v>
      </c>
      <c r="B8" s="16">
        <v>-20</v>
      </c>
      <c r="C8" s="8">
        <v>-19</v>
      </c>
      <c r="D8" s="8">
        <v>-18</v>
      </c>
      <c r="E8" s="8">
        <v>-17</v>
      </c>
      <c r="F8" s="8">
        <v>-16</v>
      </c>
      <c r="G8" s="8">
        <v>-15</v>
      </c>
      <c r="H8" s="8">
        <v>-14</v>
      </c>
      <c r="I8" s="8">
        <v>-13</v>
      </c>
      <c r="J8" s="8">
        <v>-12</v>
      </c>
      <c r="K8" s="8">
        <v>-11</v>
      </c>
      <c r="L8" s="19">
        <v>-10</v>
      </c>
      <c r="M8" s="8">
        <v>-9</v>
      </c>
      <c r="N8" s="8">
        <v>-8</v>
      </c>
      <c r="O8" s="8">
        <v>-7</v>
      </c>
      <c r="P8" s="8">
        <v>-6</v>
      </c>
      <c r="Q8" s="8">
        <v>-5</v>
      </c>
      <c r="R8" s="8">
        <v>-4</v>
      </c>
      <c r="S8" s="8">
        <v>-3</v>
      </c>
      <c r="T8" s="8">
        <v>-2</v>
      </c>
      <c r="U8" s="8">
        <v>-1</v>
      </c>
      <c r="V8" s="19">
        <v>0</v>
      </c>
      <c r="W8" s="8">
        <v>1</v>
      </c>
      <c r="X8" s="8">
        <v>2</v>
      </c>
      <c r="Y8" s="8">
        <v>3</v>
      </c>
      <c r="Z8" s="8">
        <v>4</v>
      </c>
      <c r="AA8" s="8">
        <v>5</v>
      </c>
      <c r="AB8" s="8">
        <v>6</v>
      </c>
      <c r="AC8" s="8">
        <v>7</v>
      </c>
      <c r="AD8" s="8">
        <v>8</v>
      </c>
      <c r="AE8" s="8">
        <v>9</v>
      </c>
      <c r="AF8" s="19">
        <v>10</v>
      </c>
      <c r="AG8" s="8">
        <v>11</v>
      </c>
      <c r="AH8" s="8">
        <v>12</v>
      </c>
      <c r="AI8" s="8">
        <v>13</v>
      </c>
      <c r="AJ8" s="8">
        <v>14</v>
      </c>
      <c r="AK8" s="8">
        <v>15</v>
      </c>
      <c r="AL8" s="8">
        <v>16</v>
      </c>
      <c r="AM8" s="8">
        <v>17</v>
      </c>
      <c r="AN8" s="8">
        <v>18</v>
      </c>
      <c r="AO8" s="8">
        <v>19</v>
      </c>
      <c r="AP8" s="19">
        <v>20</v>
      </c>
      <c r="AQ8" s="8">
        <v>21</v>
      </c>
      <c r="AR8" s="8">
        <v>22</v>
      </c>
      <c r="AS8" s="8">
        <v>23</v>
      </c>
      <c r="AT8" s="8">
        <v>24</v>
      </c>
      <c r="AU8" s="8">
        <v>25</v>
      </c>
      <c r="AV8" s="8">
        <v>26</v>
      </c>
      <c r="AW8" s="8">
        <v>27</v>
      </c>
      <c r="AX8" s="8">
        <v>28</v>
      </c>
      <c r="AY8" s="8">
        <v>29</v>
      </c>
      <c r="AZ8" s="19">
        <v>30</v>
      </c>
      <c r="BA8" s="8">
        <v>31</v>
      </c>
      <c r="BB8" s="8">
        <v>32</v>
      </c>
      <c r="BC8" s="8">
        <v>33</v>
      </c>
      <c r="BD8" s="8">
        <v>34</v>
      </c>
      <c r="BE8" s="8">
        <v>35</v>
      </c>
      <c r="BF8" s="8">
        <v>36</v>
      </c>
      <c r="BG8" s="8">
        <v>37</v>
      </c>
      <c r="BH8" s="8">
        <v>38</v>
      </c>
      <c r="BI8" s="8">
        <v>39</v>
      </c>
      <c r="BJ8" s="20">
        <v>40</v>
      </c>
      <c r="BK8" s="672"/>
    </row>
    <row r="9" spans="1:63" x14ac:dyDescent="0.25">
      <c r="A9" s="23">
        <v>0</v>
      </c>
      <c r="B9" s="14">
        <v>21.5</v>
      </c>
      <c r="C9" s="3">
        <f t="shared" ref="C9:K9" si="0">$B$9*(C8+10)/-10+(1-((C8+10)/-10))*$L9</f>
        <v>21.53</v>
      </c>
      <c r="D9" s="3">
        <f t="shared" si="0"/>
        <v>21.56</v>
      </c>
      <c r="E9" s="3">
        <f t="shared" si="0"/>
        <v>21.590000000000003</v>
      </c>
      <c r="F9" s="3">
        <f t="shared" si="0"/>
        <v>21.62</v>
      </c>
      <c r="G9" s="3">
        <f t="shared" si="0"/>
        <v>21.65</v>
      </c>
      <c r="H9" s="3">
        <f t="shared" si="0"/>
        <v>21.68</v>
      </c>
      <c r="I9" s="3">
        <f t="shared" si="0"/>
        <v>21.71</v>
      </c>
      <c r="J9" s="3">
        <f t="shared" si="0"/>
        <v>21.740000000000002</v>
      </c>
      <c r="K9" s="3">
        <f t="shared" si="0"/>
        <v>21.77</v>
      </c>
      <c r="L9" s="17">
        <v>21.8</v>
      </c>
      <c r="M9" s="3">
        <v>21.83</v>
      </c>
      <c r="N9" s="3">
        <v>21.86</v>
      </c>
      <c r="O9" s="3">
        <v>21.89</v>
      </c>
      <c r="P9" s="3">
        <v>21.92</v>
      </c>
      <c r="Q9" s="3">
        <v>21.95</v>
      </c>
      <c r="R9" s="3">
        <v>21.98</v>
      </c>
      <c r="S9" s="3">
        <v>22.01</v>
      </c>
      <c r="T9" s="3">
        <v>22.04</v>
      </c>
      <c r="U9" s="3">
        <v>22.07</v>
      </c>
      <c r="V9" s="17">
        <v>22.1</v>
      </c>
      <c r="W9" s="3">
        <v>22.12</v>
      </c>
      <c r="X9" s="3">
        <v>22.14</v>
      </c>
      <c r="Y9" s="3">
        <v>22.16</v>
      </c>
      <c r="Z9" s="3">
        <v>22.18</v>
      </c>
      <c r="AA9" s="3">
        <v>22.2</v>
      </c>
      <c r="AB9" s="3">
        <v>22.22</v>
      </c>
      <c r="AC9" s="3">
        <v>22.24</v>
      </c>
      <c r="AD9" s="3">
        <v>22.26</v>
      </c>
      <c r="AE9" s="3">
        <v>22.28</v>
      </c>
      <c r="AF9" s="17">
        <v>22.3</v>
      </c>
      <c r="AG9" s="3">
        <f t="shared" ref="AG9:AO9" si="1">$AF9*(AG8-20)/-10+(1-((AG8-20)/-10))*$AP9</f>
        <v>22.33</v>
      </c>
      <c r="AH9" s="3">
        <f t="shared" si="1"/>
        <v>22.36</v>
      </c>
      <c r="AI9" s="3">
        <f t="shared" si="1"/>
        <v>22.39</v>
      </c>
      <c r="AJ9" s="3">
        <f t="shared" si="1"/>
        <v>22.42</v>
      </c>
      <c r="AK9" s="3">
        <f t="shared" si="1"/>
        <v>22.450000000000003</v>
      </c>
      <c r="AL9" s="3">
        <f t="shared" si="1"/>
        <v>22.48</v>
      </c>
      <c r="AM9" s="3">
        <f t="shared" si="1"/>
        <v>22.51</v>
      </c>
      <c r="AN9" s="3">
        <f t="shared" si="1"/>
        <v>22.540000000000003</v>
      </c>
      <c r="AO9" s="3">
        <f t="shared" si="1"/>
        <v>22.570000000000004</v>
      </c>
      <c r="AP9" s="17">
        <v>22.6</v>
      </c>
      <c r="AQ9" s="3">
        <f t="shared" ref="AQ9:AY9" si="2">$AP9*(AQ8-30)/-10+(1-((AQ8-30)/-10))*$AZ9</f>
        <v>22.63</v>
      </c>
      <c r="AR9" s="3">
        <f t="shared" si="2"/>
        <v>22.66</v>
      </c>
      <c r="AS9" s="3">
        <f t="shared" si="2"/>
        <v>22.690000000000005</v>
      </c>
      <c r="AT9" s="3">
        <f t="shared" si="2"/>
        <v>22.720000000000002</v>
      </c>
      <c r="AU9" s="3">
        <f t="shared" si="2"/>
        <v>22.75</v>
      </c>
      <c r="AV9" s="3">
        <f t="shared" si="2"/>
        <v>22.78</v>
      </c>
      <c r="AW9" s="3">
        <f t="shared" si="2"/>
        <v>22.81</v>
      </c>
      <c r="AX9" s="3">
        <f t="shared" si="2"/>
        <v>22.84</v>
      </c>
      <c r="AY9" s="3">
        <f t="shared" si="2"/>
        <v>22.87</v>
      </c>
      <c r="AZ9" s="17">
        <v>22.9</v>
      </c>
      <c r="BA9" s="3">
        <f t="shared" ref="BA9:BI9" si="3">$AZ9*(BA8-40)/-10+(1-((BA8-40)/-10))*$BJ9</f>
        <v>22.93</v>
      </c>
      <c r="BB9" s="3">
        <f t="shared" si="3"/>
        <v>22.96</v>
      </c>
      <c r="BC9" s="3">
        <f t="shared" si="3"/>
        <v>22.99</v>
      </c>
      <c r="BD9" s="3">
        <f t="shared" si="3"/>
        <v>23.019999999999996</v>
      </c>
      <c r="BE9" s="3">
        <f t="shared" si="3"/>
        <v>23.049999999999997</v>
      </c>
      <c r="BF9" s="3">
        <f t="shared" si="3"/>
        <v>23.08</v>
      </c>
      <c r="BG9" s="3">
        <f t="shared" si="3"/>
        <v>23.11</v>
      </c>
      <c r="BH9" s="3">
        <f t="shared" si="3"/>
        <v>23.14</v>
      </c>
      <c r="BI9" s="3">
        <f t="shared" si="3"/>
        <v>23.169999999999998</v>
      </c>
      <c r="BJ9" s="22">
        <v>23.2</v>
      </c>
      <c r="BK9" s="672"/>
    </row>
    <row r="10" spans="1:63" x14ac:dyDescent="0.25">
      <c r="A10" s="11">
        <v>500</v>
      </c>
      <c r="B10" s="5">
        <v>21.4</v>
      </c>
      <c r="C10">
        <v>21.43</v>
      </c>
      <c r="D10">
        <v>21.46</v>
      </c>
      <c r="E10">
        <v>21.49</v>
      </c>
      <c r="F10">
        <v>21.52</v>
      </c>
      <c r="G10">
        <v>21.55</v>
      </c>
      <c r="H10">
        <v>21.58</v>
      </c>
      <c r="I10">
        <v>21.61</v>
      </c>
      <c r="J10">
        <v>21.64</v>
      </c>
      <c r="K10">
        <v>21.67</v>
      </c>
      <c r="L10">
        <v>21.7</v>
      </c>
      <c r="M10">
        <v>21.727499999999999</v>
      </c>
      <c r="N10">
        <v>21.754999999999999</v>
      </c>
      <c r="O10">
        <v>21.782499999999999</v>
      </c>
      <c r="P10">
        <v>21.81</v>
      </c>
      <c r="Q10">
        <v>21.837499999999999</v>
      </c>
      <c r="R10">
        <v>21.864999999999998</v>
      </c>
      <c r="S10">
        <v>21.892499999999998</v>
      </c>
      <c r="T10">
        <v>21.92</v>
      </c>
      <c r="U10">
        <v>21.947500000000002</v>
      </c>
      <c r="V10">
        <v>21.975000000000001</v>
      </c>
      <c r="W10">
        <v>21.997499999999999</v>
      </c>
      <c r="X10">
        <v>22.02</v>
      </c>
      <c r="Y10">
        <v>22.0425</v>
      </c>
      <c r="Z10">
        <v>22.065000000000001</v>
      </c>
      <c r="AA10">
        <v>22.087499999999999</v>
      </c>
      <c r="AB10">
        <v>22.11</v>
      </c>
      <c r="AC10">
        <v>22.1325</v>
      </c>
      <c r="AD10">
        <v>22.155000000000001</v>
      </c>
      <c r="AE10">
        <v>22.177499999999998</v>
      </c>
      <c r="AF10">
        <v>22.2</v>
      </c>
      <c r="AG10">
        <v>22.23</v>
      </c>
      <c r="AH10">
        <v>22.26</v>
      </c>
      <c r="AI10">
        <v>22.29</v>
      </c>
      <c r="AJ10">
        <v>22.32</v>
      </c>
      <c r="AK10">
        <v>22.35</v>
      </c>
      <c r="AL10">
        <v>22.38</v>
      </c>
      <c r="AM10">
        <v>22.41</v>
      </c>
      <c r="AN10">
        <v>22.44</v>
      </c>
      <c r="AO10">
        <v>22.47</v>
      </c>
      <c r="AP10">
        <v>22.5</v>
      </c>
      <c r="AQ10">
        <v>22.53</v>
      </c>
      <c r="AR10">
        <v>22.56</v>
      </c>
      <c r="AS10">
        <v>22.59</v>
      </c>
      <c r="AT10">
        <v>22.62</v>
      </c>
      <c r="AU10">
        <v>22.65</v>
      </c>
      <c r="AV10">
        <v>22.68</v>
      </c>
      <c r="AW10">
        <v>22.71</v>
      </c>
      <c r="AX10">
        <v>22.74</v>
      </c>
      <c r="AY10">
        <v>22.77</v>
      </c>
      <c r="AZ10">
        <v>22.8</v>
      </c>
      <c r="BA10">
        <v>22.83</v>
      </c>
      <c r="BB10">
        <v>22.86</v>
      </c>
      <c r="BC10">
        <v>22.89</v>
      </c>
      <c r="BD10">
        <v>22.92</v>
      </c>
      <c r="BE10">
        <v>22.95</v>
      </c>
      <c r="BF10">
        <v>22.98</v>
      </c>
      <c r="BG10">
        <v>23.01</v>
      </c>
      <c r="BH10">
        <v>23.04</v>
      </c>
      <c r="BI10">
        <v>23.07</v>
      </c>
      <c r="BJ10" s="6">
        <v>23.1</v>
      </c>
      <c r="BK10" s="672"/>
    </row>
    <row r="11" spans="1:63" x14ac:dyDescent="0.25">
      <c r="A11" s="11">
        <v>1000</v>
      </c>
      <c r="B11" s="5">
        <v>21.3</v>
      </c>
      <c r="C11">
        <v>21.33</v>
      </c>
      <c r="D11">
        <v>21.36</v>
      </c>
      <c r="E11">
        <v>21.39</v>
      </c>
      <c r="F11">
        <v>21.42</v>
      </c>
      <c r="G11">
        <v>21.45</v>
      </c>
      <c r="H11">
        <v>21.48</v>
      </c>
      <c r="I11">
        <v>21.51</v>
      </c>
      <c r="J11">
        <v>21.54</v>
      </c>
      <c r="K11">
        <v>21.57</v>
      </c>
      <c r="L11">
        <v>21.6</v>
      </c>
      <c r="M11">
        <v>21.625</v>
      </c>
      <c r="N11">
        <v>21.65</v>
      </c>
      <c r="O11">
        <v>21.675000000000001</v>
      </c>
      <c r="P11">
        <v>21.7</v>
      </c>
      <c r="Q11">
        <v>21.725000000000001</v>
      </c>
      <c r="R11">
        <v>21.75</v>
      </c>
      <c r="S11">
        <v>21.774999999999999</v>
      </c>
      <c r="T11">
        <v>21.8</v>
      </c>
      <c r="U11">
        <v>21.824999999999999</v>
      </c>
      <c r="V11">
        <v>21.85</v>
      </c>
      <c r="W11">
        <v>21.875</v>
      </c>
      <c r="X11">
        <v>21.9</v>
      </c>
      <c r="Y11">
        <v>21.925000000000001</v>
      </c>
      <c r="Z11">
        <v>21.95</v>
      </c>
      <c r="AA11">
        <v>21.975000000000001</v>
      </c>
      <c r="AB11">
        <v>22</v>
      </c>
      <c r="AC11">
        <v>22.024999999999999</v>
      </c>
      <c r="AD11">
        <v>22.05</v>
      </c>
      <c r="AE11">
        <v>22.074999999999999</v>
      </c>
      <c r="AF11">
        <v>22.1</v>
      </c>
      <c r="AG11">
        <v>22.13</v>
      </c>
      <c r="AH11">
        <v>22.16</v>
      </c>
      <c r="AI11">
        <v>22.19</v>
      </c>
      <c r="AJ11">
        <v>22.22</v>
      </c>
      <c r="AK11">
        <v>22.25</v>
      </c>
      <c r="AL11">
        <v>22.28</v>
      </c>
      <c r="AM11">
        <v>22.31</v>
      </c>
      <c r="AN11">
        <v>22.34</v>
      </c>
      <c r="AO11">
        <v>22.37</v>
      </c>
      <c r="AP11">
        <v>22.4</v>
      </c>
      <c r="AQ11">
        <v>22.43</v>
      </c>
      <c r="AR11">
        <v>22.46</v>
      </c>
      <c r="AS11">
        <v>22.49</v>
      </c>
      <c r="AT11">
        <v>22.52</v>
      </c>
      <c r="AU11">
        <v>22.55</v>
      </c>
      <c r="AV11">
        <v>22.58</v>
      </c>
      <c r="AW11">
        <v>22.61</v>
      </c>
      <c r="AX11">
        <v>22.64</v>
      </c>
      <c r="AY11">
        <v>22.67</v>
      </c>
      <c r="AZ11">
        <v>22.7</v>
      </c>
      <c r="BA11">
        <v>22.73</v>
      </c>
      <c r="BB11">
        <v>22.76</v>
      </c>
      <c r="BC11">
        <v>22.79</v>
      </c>
      <c r="BD11">
        <v>22.82</v>
      </c>
      <c r="BE11">
        <v>22.85</v>
      </c>
      <c r="BF11">
        <v>22.88</v>
      </c>
      <c r="BG11">
        <v>22.91</v>
      </c>
      <c r="BH11">
        <v>22.94</v>
      </c>
      <c r="BI11">
        <v>22.97</v>
      </c>
      <c r="BJ11" s="6">
        <v>23</v>
      </c>
      <c r="BK11" s="672"/>
    </row>
    <row r="12" spans="1:63" x14ac:dyDescent="0.25">
      <c r="A12" s="11">
        <v>1500</v>
      </c>
      <c r="B12" s="5">
        <v>21.2</v>
      </c>
      <c r="C12">
        <v>21.23</v>
      </c>
      <c r="D12">
        <v>21.26</v>
      </c>
      <c r="E12">
        <v>21.29</v>
      </c>
      <c r="F12">
        <v>21.32</v>
      </c>
      <c r="G12">
        <v>21.35</v>
      </c>
      <c r="H12">
        <v>21.38</v>
      </c>
      <c r="I12">
        <v>21.41</v>
      </c>
      <c r="J12">
        <v>21.44</v>
      </c>
      <c r="K12">
        <v>21.47</v>
      </c>
      <c r="L12">
        <v>21.5</v>
      </c>
      <c r="M12">
        <v>21.522500000000001</v>
      </c>
      <c r="N12">
        <v>21.545000000000002</v>
      </c>
      <c r="O12">
        <v>21.567499999999999</v>
      </c>
      <c r="P12">
        <v>21.59</v>
      </c>
      <c r="Q12">
        <v>21.612500000000001</v>
      </c>
      <c r="R12">
        <v>21.635000000000002</v>
      </c>
      <c r="S12">
        <v>21.657499999999999</v>
      </c>
      <c r="T12">
        <v>21.68</v>
      </c>
      <c r="U12">
        <v>21.702500000000001</v>
      </c>
      <c r="V12">
        <v>21.725000000000001</v>
      </c>
      <c r="W12">
        <v>21.752500000000001</v>
      </c>
      <c r="X12">
        <v>21.78</v>
      </c>
      <c r="Y12">
        <v>21.807500000000001</v>
      </c>
      <c r="Z12">
        <v>21.835000000000001</v>
      </c>
      <c r="AA12">
        <v>21.862500000000001</v>
      </c>
      <c r="AB12">
        <v>21.89</v>
      </c>
      <c r="AC12">
        <v>21.9175</v>
      </c>
      <c r="AD12">
        <v>21.945</v>
      </c>
      <c r="AE12">
        <v>21.9725</v>
      </c>
      <c r="AF12">
        <v>22</v>
      </c>
      <c r="AG12">
        <v>22.03</v>
      </c>
      <c r="AH12">
        <v>22.06</v>
      </c>
      <c r="AI12">
        <v>22.09</v>
      </c>
      <c r="AJ12">
        <v>22.12</v>
      </c>
      <c r="AK12">
        <v>22.15</v>
      </c>
      <c r="AL12">
        <v>22.18</v>
      </c>
      <c r="AM12">
        <v>22.21</v>
      </c>
      <c r="AN12">
        <v>22.24</v>
      </c>
      <c r="AO12">
        <v>22.27</v>
      </c>
      <c r="AP12">
        <v>22.3</v>
      </c>
      <c r="AQ12">
        <v>22.33</v>
      </c>
      <c r="AR12">
        <v>22.36</v>
      </c>
      <c r="AS12">
        <v>22.39</v>
      </c>
      <c r="AT12">
        <v>22.42</v>
      </c>
      <c r="AU12">
        <v>22.45</v>
      </c>
      <c r="AV12">
        <v>22.48</v>
      </c>
      <c r="AW12">
        <v>22.51</v>
      </c>
      <c r="AX12">
        <v>22.54</v>
      </c>
      <c r="AY12">
        <v>22.57</v>
      </c>
      <c r="AZ12">
        <v>22.6</v>
      </c>
      <c r="BA12">
        <v>22.63</v>
      </c>
      <c r="BB12">
        <v>22.66</v>
      </c>
      <c r="BC12">
        <v>22.69</v>
      </c>
      <c r="BD12">
        <v>22.72</v>
      </c>
      <c r="BE12">
        <v>22.75</v>
      </c>
      <c r="BF12">
        <v>22.78</v>
      </c>
      <c r="BG12">
        <v>22.81</v>
      </c>
      <c r="BH12">
        <v>22.84</v>
      </c>
      <c r="BI12">
        <v>22.87</v>
      </c>
      <c r="BJ12" s="6">
        <v>22.9</v>
      </c>
      <c r="BK12" s="672"/>
    </row>
    <row r="13" spans="1:63" x14ac:dyDescent="0.25">
      <c r="A13" s="24">
        <v>2000</v>
      </c>
      <c r="B13" s="15">
        <v>21.1</v>
      </c>
      <c r="C13">
        <v>21.13</v>
      </c>
      <c r="D13">
        <v>21.16</v>
      </c>
      <c r="E13">
        <v>21.19</v>
      </c>
      <c r="F13">
        <v>21.22</v>
      </c>
      <c r="G13">
        <v>21.25</v>
      </c>
      <c r="H13">
        <v>21.28</v>
      </c>
      <c r="I13">
        <v>21.31</v>
      </c>
      <c r="J13">
        <v>21.34</v>
      </c>
      <c r="K13">
        <v>21.37</v>
      </c>
      <c r="L13" s="18">
        <v>21.4</v>
      </c>
      <c r="M13">
        <v>21.42</v>
      </c>
      <c r="N13">
        <v>21.44</v>
      </c>
      <c r="O13">
        <v>21.46</v>
      </c>
      <c r="P13">
        <v>21.48</v>
      </c>
      <c r="Q13">
        <v>21.5</v>
      </c>
      <c r="R13">
        <v>21.52</v>
      </c>
      <c r="S13">
        <v>21.54</v>
      </c>
      <c r="T13">
        <v>21.56</v>
      </c>
      <c r="U13">
        <v>21.58</v>
      </c>
      <c r="V13" s="18">
        <v>21.6</v>
      </c>
      <c r="W13">
        <v>21.63</v>
      </c>
      <c r="X13">
        <v>21.66</v>
      </c>
      <c r="Y13">
        <v>21.69</v>
      </c>
      <c r="Z13">
        <v>21.72</v>
      </c>
      <c r="AA13">
        <v>21.75</v>
      </c>
      <c r="AB13">
        <v>21.78</v>
      </c>
      <c r="AC13">
        <v>21.81</v>
      </c>
      <c r="AD13">
        <v>21.84</v>
      </c>
      <c r="AE13">
        <v>21.87</v>
      </c>
      <c r="AF13" s="18">
        <v>21.9</v>
      </c>
      <c r="AG13">
        <v>21.93</v>
      </c>
      <c r="AH13">
        <v>21.96</v>
      </c>
      <c r="AI13">
        <v>21.99</v>
      </c>
      <c r="AJ13">
        <v>22.02</v>
      </c>
      <c r="AK13">
        <v>22.05</v>
      </c>
      <c r="AL13">
        <v>22.08</v>
      </c>
      <c r="AM13">
        <v>22.11</v>
      </c>
      <c r="AN13">
        <v>22.14</v>
      </c>
      <c r="AO13">
        <v>22.17</v>
      </c>
      <c r="AP13" s="18">
        <v>22.2</v>
      </c>
      <c r="AQ13">
        <v>22.23</v>
      </c>
      <c r="AR13">
        <v>22.26</v>
      </c>
      <c r="AS13">
        <v>22.29</v>
      </c>
      <c r="AT13">
        <v>22.32</v>
      </c>
      <c r="AU13">
        <v>22.35</v>
      </c>
      <c r="AV13">
        <v>22.38</v>
      </c>
      <c r="AW13">
        <v>22.41</v>
      </c>
      <c r="AX13">
        <v>22.44</v>
      </c>
      <c r="AY13">
        <v>22.47</v>
      </c>
      <c r="AZ13" s="18">
        <v>22.5</v>
      </c>
      <c r="BA13">
        <v>22.53</v>
      </c>
      <c r="BB13">
        <v>22.56</v>
      </c>
      <c r="BC13">
        <v>22.59</v>
      </c>
      <c r="BD13">
        <v>22.62</v>
      </c>
      <c r="BE13">
        <v>22.65</v>
      </c>
      <c r="BF13">
        <v>22.68</v>
      </c>
      <c r="BG13">
        <v>22.71</v>
      </c>
      <c r="BH13">
        <v>22.74</v>
      </c>
      <c r="BI13">
        <v>22.77</v>
      </c>
      <c r="BJ13" s="21">
        <v>22.8</v>
      </c>
      <c r="BK13" s="672"/>
    </row>
    <row r="14" spans="1:63" x14ac:dyDescent="0.25">
      <c r="A14" s="11">
        <v>2500</v>
      </c>
      <c r="B14" s="5">
        <v>21</v>
      </c>
      <c r="C14">
        <v>21.03</v>
      </c>
      <c r="D14">
        <v>21.06</v>
      </c>
      <c r="E14">
        <v>21.09</v>
      </c>
      <c r="F14">
        <v>21.12</v>
      </c>
      <c r="G14">
        <v>21.15</v>
      </c>
      <c r="H14">
        <v>21.18</v>
      </c>
      <c r="I14">
        <v>21.21</v>
      </c>
      <c r="J14">
        <v>21.24</v>
      </c>
      <c r="K14">
        <v>21.27</v>
      </c>
      <c r="L14">
        <v>21.3</v>
      </c>
      <c r="M14">
        <v>21.32</v>
      </c>
      <c r="N14">
        <v>21.34</v>
      </c>
      <c r="O14">
        <v>21.36</v>
      </c>
      <c r="P14">
        <v>21.38</v>
      </c>
      <c r="Q14">
        <v>21.4</v>
      </c>
      <c r="R14">
        <v>21.42</v>
      </c>
      <c r="S14">
        <v>21.44</v>
      </c>
      <c r="T14">
        <v>21.46</v>
      </c>
      <c r="U14">
        <v>21.48</v>
      </c>
      <c r="V14">
        <v>21.5</v>
      </c>
      <c r="W14">
        <v>21.53</v>
      </c>
      <c r="X14">
        <v>21.56</v>
      </c>
      <c r="Y14">
        <v>21.59</v>
      </c>
      <c r="Z14">
        <v>21.62</v>
      </c>
      <c r="AA14">
        <v>21.65</v>
      </c>
      <c r="AB14">
        <v>21.68</v>
      </c>
      <c r="AC14">
        <v>21.71</v>
      </c>
      <c r="AD14">
        <v>21.74</v>
      </c>
      <c r="AE14">
        <v>21.77</v>
      </c>
      <c r="AF14">
        <v>21.8</v>
      </c>
      <c r="AG14">
        <v>21.83</v>
      </c>
      <c r="AH14">
        <v>21.86</v>
      </c>
      <c r="AI14">
        <v>21.89</v>
      </c>
      <c r="AJ14">
        <v>21.92</v>
      </c>
      <c r="AK14">
        <v>21.95</v>
      </c>
      <c r="AL14">
        <v>21.98</v>
      </c>
      <c r="AM14">
        <v>22.01</v>
      </c>
      <c r="AN14">
        <v>22.04</v>
      </c>
      <c r="AO14">
        <v>22.07</v>
      </c>
      <c r="AP14">
        <v>22.1</v>
      </c>
      <c r="AQ14">
        <v>22.13</v>
      </c>
      <c r="AR14">
        <v>22.16</v>
      </c>
      <c r="AS14">
        <v>22.19</v>
      </c>
      <c r="AT14">
        <v>22.22</v>
      </c>
      <c r="AU14">
        <v>22.25</v>
      </c>
      <c r="AV14">
        <v>22.28</v>
      </c>
      <c r="AW14">
        <v>22.31</v>
      </c>
      <c r="AX14">
        <f t="shared" ref="AX14:AX21" si="4">AX13-0.125</f>
        <v>22.315000000000001</v>
      </c>
      <c r="AY14">
        <f t="shared" ref="AY14:AY21" si="5">AY13-0.125</f>
        <v>22.344999999999999</v>
      </c>
      <c r="AZ14">
        <v>22.375</v>
      </c>
      <c r="BA14">
        <f t="shared" ref="BA14:BI16" si="6">BA13-0.125</f>
        <v>22.405000000000001</v>
      </c>
      <c r="BB14">
        <f t="shared" si="6"/>
        <v>22.434999999999999</v>
      </c>
      <c r="BC14">
        <f t="shared" si="6"/>
        <v>22.465</v>
      </c>
      <c r="BD14">
        <f t="shared" si="6"/>
        <v>22.495000000000001</v>
      </c>
      <c r="BE14">
        <f t="shared" si="6"/>
        <v>22.524999999999999</v>
      </c>
      <c r="BF14">
        <f t="shared" si="6"/>
        <v>22.555</v>
      </c>
      <c r="BG14">
        <f t="shared" si="6"/>
        <v>22.585000000000001</v>
      </c>
      <c r="BH14">
        <f t="shared" si="6"/>
        <v>22.614999999999998</v>
      </c>
      <c r="BI14">
        <f t="shared" si="6"/>
        <v>22.645</v>
      </c>
      <c r="BJ14" s="6">
        <v>22.675000000000001</v>
      </c>
      <c r="BK14" s="672"/>
    </row>
    <row r="15" spans="1:63" x14ac:dyDescent="0.25">
      <c r="A15" s="11">
        <v>3000</v>
      </c>
      <c r="B15" s="5">
        <v>20.9</v>
      </c>
      <c r="C15">
        <v>20.93</v>
      </c>
      <c r="D15">
        <v>20.96</v>
      </c>
      <c r="E15">
        <v>20.99</v>
      </c>
      <c r="F15">
        <v>21.02</v>
      </c>
      <c r="G15">
        <v>21.05</v>
      </c>
      <c r="H15">
        <v>21.08</v>
      </c>
      <c r="I15">
        <v>21.11</v>
      </c>
      <c r="J15">
        <v>21.14</v>
      </c>
      <c r="K15">
        <v>21.17</v>
      </c>
      <c r="L15">
        <v>21.2</v>
      </c>
      <c r="M15">
        <v>21.22</v>
      </c>
      <c r="N15">
        <v>21.24</v>
      </c>
      <c r="O15">
        <v>21.26</v>
      </c>
      <c r="P15">
        <v>21.28</v>
      </c>
      <c r="Q15">
        <v>21.3</v>
      </c>
      <c r="R15">
        <v>21.32</v>
      </c>
      <c r="S15">
        <v>21.34</v>
      </c>
      <c r="T15">
        <v>21.36</v>
      </c>
      <c r="U15">
        <v>21.38</v>
      </c>
      <c r="V15">
        <v>21.4</v>
      </c>
      <c r="W15">
        <v>21.43</v>
      </c>
      <c r="X15">
        <v>21.46</v>
      </c>
      <c r="Y15">
        <v>21.49</v>
      </c>
      <c r="Z15">
        <v>21.52</v>
      </c>
      <c r="AA15">
        <v>21.55</v>
      </c>
      <c r="AB15">
        <v>21.58</v>
      </c>
      <c r="AC15">
        <v>21.61</v>
      </c>
      <c r="AD15">
        <v>21.64</v>
      </c>
      <c r="AE15">
        <v>21.67</v>
      </c>
      <c r="AF15">
        <v>21.7</v>
      </c>
      <c r="AG15">
        <v>21.73</v>
      </c>
      <c r="AH15">
        <v>21.76</v>
      </c>
      <c r="AI15">
        <v>21.79</v>
      </c>
      <c r="AJ15">
        <v>21.82</v>
      </c>
      <c r="AK15">
        <v>21.85</v>
      </c>
      <c r="AL15">
        <v>21.88</v>
      </c>
      <c r="AM15">
        <v>21.91</v>
      </c>
      <c r="AN15">
        <v>21.94</v>
      </c>
      <c r="AO15">
        <v>21.97</v>
      </c>
      <c r="AP15">
        <v>22</v>
      </c>
      <c r="AQ15">
        <v>22.03</v>
      </c>
      <c r="AR15">
        <v>22.06</v>
      </c>
      <c r="AS15">
        <v>22.09</v>
      </c>
      <c r="AT15">
        <v>22.12</v>
      </c>
      <c r="AU15">
        <v>22.15</v>
      </c>
      <c r="AV15">
        <v>22.18</v>
      </c>
      <c r="AW15">
        <f t="shared" ref="AW15:AW21" si="7">AW14-0.125</f>
        <v>22.184999999999999</v>
      </c>
      <c r="AX15">
        <f t="shared" si="4"/>
        <v>22.19</v>
      </c>
      <c r="AY15">
        <f t="shared" si="5"/>
        <v>22.22</v>
      </c>
      <c r="AZ15">
        <v>22.25</v>
      </c>
      <c r="BA15">
        <f t="shared" si="6"/>
        <v>22.28</v>
      </c>
      <c r="BB15">
        <f t="shared" si="6"/>
        <v>22.31</v>
      </c>
      <c r="BC15">
        <f t="shared" si="6"/>
        <v>22.34</v>
      </c>
      <c r="BD15">
        <f t="shared" si="6"/>
        <v>22.37</v>
      </c>
      <c r="BE15">
        <f t="shared" si="6"/>
        <v>22.4</v>
      </c>
      <c r="BF15">
        <f t="shared" si="6"/>
        <v>22.43</v>
      </c>
      <c r="BG15">
        <f t="shared" si="6"/>
        <v>22.46</v>
      </c>
      <c r="BH15">
        <f t="shared" si="6"/>
        <v>22.49</v>
      </c>
      <c r="BI15">
        <f t="shared" si="6"/>
        <v>22.52</v>
      </c>
      <c r="BJ15" s="6">
        <v>22.55</v>
      </c>
      <c r="BK15" s="672"/>
    </row>
    <row r="16" spans="1:63" x14ac:dyDescent="0.25">
      <c r="A16" s="11">
        <v>3500</v>
      </c>
      <c r="B16" s="5">
        <v>20.8</v>
      </c>
      <c r="C16">
        <v>20.83</v>
      </c>
      <c r="D16">
        <v>20.86</v>
      </c>
      <c r="E16">
        <v>20.89</v>
      </c>
      <c r="F16">
        <v>20.92</v>
      </c>
      <c r="G16">
        <v>20.95</v>
      </c>
      <c r="H16">
        <v>20.98</v>
      </c>
      <c r="I16">
        <v>21.01</v>
      </c>
      <c r="J16">
        <v>21.04</v>
      </c>
      <c r="K16">
        <v>21.07</v>
      </c>
      <c r="L16">
        <v>21.1</v>
      </c>
      <c r="M16">
        <v>21.12</v>
      </c>
      <c r="N16">
        <v>21.14</v>
      </c>
      <c r="O16">
        <v>21.16</v>
      </c>
      <c r="P16">
        <v>21.18</v>
      </c>
      <c r="Q16">
        <v>21.2</v>
      </c>
      <c r="R16">
        <v>21.22</v>
      </c>
      <c r="S16">
        <v>21.24</v>
      </c>
      <c r="T16">
        <v>21.26</v>
      </c>
      <c r="U16">
        <v>21.28</v>
      </c>
      <c r="V16">
        <v>21.3</v>
      </c>
      <c r="W16">
        <v>21.33</v>
      </c>
      <c r="X16">
        <v>21.36</v>
      </c>
      <c r="Y16">
        <v>21.39</v>
      </c>
      <c r="Z16">
        <v>21.42</v>
      </c>
      <c r="AA16">
        <v>21.45</v>
      </c>
      <c r="AB16">
        <v>21.48</v>
      </c>
      <c r="AC16">
        <v>21.51</v>
      </c>
      <c r="AD16">
        <v>21.54</v>
      </c>
      <c r="AE16">
        <v>21.57</v>
      </c>
      <c r="AF16">
        <v>21.6</v>
      </c>
      <c r="AG16">
        <v>21.63</v>
      </c>
      <c r="AH16">
        <v>21.66</v>
      </c>
      <c r="AI16">
        <v>21.69</v>
      </c>
      <c r="AJ16">
        <v>21.72</v>
      </c>
      <c r="AK16">
        <v>21.75</v>
      </c>
      <c r="AL16">
        <v>21.78</v>
      </c>
      <c r="AM16">
        <v>21.81</v>
      </c>
      <c r="AN16">
        <v>21.84</v>
      </c>
      <c r="AO16">
        <v>21.87</v>
      </c>
      <c r="AP16">
        <v>21.9</v>
      </c>
      <c r="AQ16">
        <v>21.93</v>
      </c>
      <c r="AR16">
        <v>21.96</v>
      </c>
      <c r="AS16">
        <v>21.99</v>
      </c>
      <c r="AT16">
        <v>22.02</v>
      </c>
      <c r="AU16">
        <v>22.05</v>
      </c>
      <c r="AV16">
        <f t="shared" ref="AV16:AV21" si="8">AV15-0.125</f>
        <v>22.055</v>
      </c>
      <c r="AW16">
        <f t="shared" si="7"/>
        <v>22.06</v>
      </c>
      <c r="AX16">
        <f t="shared" si="4"/>
        <v>22.065000000000001</v>
      </c>
      <c r="AY16">
        <f t="shared" si="5"/>
        <v>22.094999999999999</v>
      </c>
      <c r="AZ16">
        <v>22.125</v>
      </c>
      <c r="BA16">
        <f t="shared" si="6"/>
        <v>22.155000000000001</v>
      </c>
      <c r="BB16">
        <f t="shared" si="6"/>
        <v>22.184999999999999</v>
      </c>
      <c r="BC16">
        <f t="shared" si="6"/>
        <v>22.215</v>
      </c>
      <c r="BD16">
        <f t="shared" si="6"/>
        <v>22.245000000000001</v>
      </c>
      <c r="BE16">
        <f t="shared" si="6"/>
        <v>22.274999999999999</v>
      </c>
      <c r="BF16">
        <f t="shared" si="6"/>
        <v>22.305</v>
      </c>
      <c r="BG16">
        <f t="shared" si="6"/>
        <v>22.335000000000001</v>
      </c>
      <c r="BH16">
        <f t="shared" si="6"/>
        <v>22.364999999999998</v>
      </c>
      <c r="BI16">
        <f t="shared" si="6"/>
        <v>22.395</v>
      </c>
      <c r="BJ16" s="6">
        <v>22.425000000000001</v>
      </c>
      <c r="BK16" s="672"/>
    </row>
    <row r="17" spans="1:63" x14ac:dyDescent="0.25">
      <c r="A17" s="24">
        <v>4000</v>
      </c>
      <c r="B17" s="15">
        <v>20.7</v>
      </c>
      <c r="C17">
        <v>20.73</v>
      </c>
      <c r="D17">
        <v>20.76</v>
      </c>
      <c r="E17">
        <v>20.79</v>
      </c>
      <c r="F17">
        <v>20.82</v>
      </c>
      <c r="G17">
        <v>20.85</v>
      </c>
      <c r="H17">
        <v>20.88</v>
      </c>
      <c r="I17">
        <v>20.91</v>
      </c>
      <c r="J17">
        <v>20.94</v>
      </c>
      <c r="K17">
        <v>20.97</v>
      </c>
      <c r="L17" s="18">
        <v>21</v>
      </c>
      <c r="M17">
        <v>21.02</v>
      </c>
      <c r="N17">
        <v>21.04</v>
      </c>
      <c r="O17">
        <v>21.06</v>
      </c>
      <c r="P17">
        <v>21.08</v>
      </c>
      <c r="Q17">
        <v>21.1</v>
      </c>
      <c r="R17">
        <v>21.12</v>
      </c>
      <c r="S17">
        <v>21.14</v>
      </c>
      <c r="T17">
        <v>21.16</v>
      </c>
      <c r="U17">
        <v>21.18</v>
      </c>
      <c r="V17" s="83">
        <v>21.2</v>
      </c>
      <c r="W17">
        <v>21.23</v>
      </c>
      <c r="X17" s="84">
        <v>21.26</v>
      </c>
      <c r="Y17">
        <v>21.29</v>
      </c>
      <c r="Z17" s="84">
        <v>21.32</v>
      </c>
      <c r="AA17">
        <v>21.35</v>
      </c>
      <c r="AB17" s="84">
        <v>21.38</v>
      </c>
      <c r="AC17">
        <v>21.41</v>
      </c>
      <c r="AD17" s="84">
        <v>21.44</v>
      </c>
      <c r="AE17">
        <v>21.47</v>
      </c>
      <c r="AF17" s="83">
        <v>21.5</v>
      </c>
      <c r="AG17">
        <v>21.53</v>
      </c>
      <c r="AH17">
        <v>21.56</v>
      </c>
      <c r="AI17">
        <v>21.59</v>
      </c>
      <c r="AJ17">
        <v>21.62</v>
      </c>
      <c r="AK17">
        <v>21.65</v>
      </c>
      <c r="AL17">
        <v>21.68</v>
      </c>
      <c r="AM17">
        <v>21.71</v>
      </c>
      <c r="AN17">
        <v>21.74</v>
      </c>
      <c r="AO17">
        <v>21.77</v>
      </c>
      <c r="AP17" s="18">
        <v>21.8</v>
      </c>
      <c r="AQ17">
        <v>21.83</v>
      </c>
      <c r="AR17">
        <v>21.86</v>
      </c>
      <c r="AS17">
        <v>21.89</v>
      </c>
      <c r="AT17">
        <v>21.92</v>
      </c>
      <c r="AU17">
        <f t="shared" ref="AU17:AU21" si="9">AU16-0.125</f>
        <v>21.925000000000001</v>
      </c>
      <c r="AV17">
        <f t="shared" si="8"/>
        <v>21.93</v>
      </c>
      <c r="AW17">
        <f t="shared" si="7"/>
        <v>21.934999999999999</v>
      </c>
      <c r="AX17">
        <f t="shared" si="4"/>
        <v>21.94</v>
      </c>
      <c r="AY17">
        <f t="shared" si="5"/>
        <v>21.97</v>
      </c>
      <c r="AZ17" s="18">
        <v>22</v>
      </c>
      <c r="BA17">
        <v>22.03</v>
      </c>
      <c r="BB17">
        <f t="shared" ref="BB17:BI17" si="10">BA17+0.03</f>
        <v>22.060000000000002</v>
      </c>
      <c r="BC17">
        <f t="shared" si="10"/>
        <v>22.090000000000003</v>
      </c>
      <c r="BD17">
        <f t="shared" si="10"/>
        <v>22.120000000000005</v>
      </c>
      <c r="BE17">
        <f t="shared" si="10"/>
        <v>22.150000000000006</v>
      </c>
      <c r="BF17">
        <f t="shared" si="10"/>
        <v>22.180000000000007</v>
      </c>
      <c r="BG17">
        <f t="shared" si="10"/>
        <v>22.210000000000008</v>
      </c>
      <c r="BH17">
        <f t="shared" si="10"/>
        <v>22.240000000000009</v>
      </c>
      <c r="BI17">
        <f t="shared" si="10"/>
        <v>22.27000000000001</v>
      </c>
      <c r="BJ17" s="21">
        <v>22.3</v>
      </c>
      <c r="BK17" s="672"/>
    </row>
    <row r="18" spans="1:63" x14ac:dyDescent="0.25">
      <c r="A18" s="11">
        <v>4500</v>
      </c>
      <c r="B18" s="5">
        <v>20.6</v>
      </c>
      <c r="C18">
        <v>20.63</v>
      </c>
      <c r="D18">
        <v>20.66</v>
      </c>
      <c r="E18">
        <v>20.69</v>
      </c>
      <c r="F18">
        <v>20.72</v>
      </c>
      <c r="G18">
        <v>20.75</v>
      </c>
      <c r="H18">
        <v>20.78</v>
      </c>
      <c r="I18">
        <v>20.81</v>
      </c>
      <c r="J18">
        <v>20.84</v>
      </c>
      <c r="K18">
        <v>20.87</v>
      </c>
      <c r="L18">
        <v>20.9</v>
      </c>
      <c r="M18">
        <v>20.92</v>
      </c>
      <c r="N18">
        <v>20.94</v>
      </c>
      <c r="O18">
        <v>20.96</v>
      </c>
      <c r="P18">
        <v>20.98</v>
      </c>
      <c r="Q18">
        <v>21</v>
      </c>
      <c r="R18">
        <v>21.02</v>
      </c>
      <c r="S18">
        <v>21.04</v>
      </c>
      <c r="T18">
        <v>21.06</v>
      </c>
      <c r="U18">
        <v>21.08</v>
      </c>
      <c r="V18">
        <v>21.1</v>
      </c>
      <c r="W18">
        <v>21.13</v>
      </c>
      <c r="X18">
        <v>21.16</v>
      </c>
      <c r="Y18">
        <v>21.19</v>
      </c>
      <c r="Z18">
        <v>21.22</v>
      </c>
      <c r="AA18">
        <v>21.25</v>
      </c>
      <c r="AB18">
        <v>21.28</v>
      </c>
      <c r="AC18">
        <v>21.31</v>
      </c>
      <c r="AD18">
        <v>21.34</v>
      </c>
      <c r="AE18">
        <v>21.37</v>
      </c>
      <c r="AF18">
        <v>21.4</v>
      </c>
      <c r="AG18">
        <v>21.43</v>
      </c>
      <c r="AH18">
        <v>21.46</v>
      </c>
      <c r="AI18">
        <v>21.49</v>
      </c>
      <c r="AJ18">
        <v>21.52</v>
      </c>
      <c r="AK18">
        <v>21.55</v>
      </c>
      <c r="AL18">
        <v>21.58</v>
      </c>
      <c r="AM18">
        <v>21.61</v>
      </c>
      <c r="AN18">
        <v>21.64</v>
      </c>
      <c r="AO18">
        <v>21.67</v>
      </c>
      <c r="AP18">
        <v>21.675000000000001</v>
      </c>
      <c r="AQ18">
        <f t="shared" ref="AQ18:AT21" si="11">AQ17-0.125</f>
        <v>21.704999999999998</v>
      </c>
      <c r="AR18">
        <f t="shared" si="11"/>
        <v>21.734999999999999</v>
      </c>
      <c r="AS18">
        <f t="shared" si="11"/>
        <v>21.765000000000001</v>
      </c>
      <c r="AT18">
        <f t="shared" si="11"/>
        <v>21.795000000000002</v>
      </c>
      <c r="AU18">
        <f t="shared" si="9"/>
        <v>21.8</v>
      </c>
      <c r="AV18">
        <f t="shared" si="8"/>
        <v>21.805</v>
      </c>
      <c r="AW18">
        <f t="shared" si="7"/>
        <v>21.81</v>
      </c>
      <c r="AX18">
        <f t="shared" si="4"/>
        <v>21.815000000000001</v>
      </c>
      <c r="AY18">
        <f t="shared" si="5"/>
        <v>21.844999999999999</v>
      </c>
      <c r="AZ18">
        <v>21.9</v>
      </c>
      <c r="BA18">
        <v>21.93</v>
      </c>
      <c r="BB18">
        <f t="shared" ref="BB18:BI18" si="12">BB17+0.1</f>
        <v>22.160000000000004</v>
      </c>
      <c r="BC18">
        <f t="shared" si="12"/>
        <v>22.190000000000005</v>
      </c>
      <c r="BD18">
        <f t="shared" si="12"/>
        <v>22.220000000000006</v>
      </c>
      <c r="BE18">
        <f t="shared" si="12"/>
        <v>22.250000000000007</v>
      </c>
      <c r="BF18">
        <f t="shared" si="12"/>
        <v>22.280000000000008</v>
      </c>
      <c r="BG18">
        <f t="shared" si="12"/>
        <v>22.310000000000009</v>
      </c>
      <c r="BH18">
        <f t="shared" si="12"/>
        <v>22.340000000000011</v>
      </c>
      <c r="BI18">
        <f t="shared" si="12"/>
        <v>22.370000000000012</v>
      </c>
      <c r="BJ18" s="6">
        <v>22.2</v>
      </c>
      <c r="BK18" s="672"/>
    </row>
    <row r="19" spans="1:63" x14ac:dyDescent="0.25">
      <c r="A19" s="11">
        <v>5000</v>
      </c>
      <c r="B19" s="5">
        <v>20.5</v>
      </c>
      <c r="C19">
        <v>20.53</v>
      </c>
      <c r="D19">
        <v>20.56</v>
      </c>
      <c r="E19">
        <v>20.59</v>
      </c>
      <c r="F19">
        <v>20.62</v>
      </c>
      <c r="G19">
        <v>20.65</v>
      </c>
      <c r="H19">
        <v>20.68</v>
      </c>
      <c r="I19">
        <v>20.71</v>
      </c>
      <c r="J19">
        <v>20.74</v>
      </c>
      <c r="K19">
        <v>20.77</v>
      </c>
      <c r="L19">
        <v>20.8</v>
      </c>
      <c r="M19">
        <v>20.82</v>
      </c>
      <c r="N19">
        <v>20.84</v>
      </c>
      <c r="O19">
        <v>20.86</v>
      </c>
      <c r="P19">
        <v>20.88</v>
      </c>
      <c r="Q19">
        <v>20.9</v>
      </c>
      <c r="R19">
        <v>20.92</v>
      </c>
      <c r="S19">
        <v>20.94</v>
      </c>
      <c r="T19">
        <v>20.96</v>
      </c>
      <c r="U19">
        <v>20.98</v>
      </c>
      <c r="V19">
        <v>21</v>
      </c>
      <c r="W19">
        <v>21.03</v>
      </c>
      <c r="X19">
        <v>21.06</v>
      </c>
      <c r="Y19">
        <v>21.09</v>
      </c>
      <c r="Z19">
        <v>21.12</v>
      </c>
      <c r="AA19">
        <v>21.15</v>
      </c>
      <c r="AB19">
        <v>21.18</v>
      </c>
      <c r="AC19">
        <v>21.21</v>
      </c>
      <c r="AD19">
        <v>21.24</v>
      </c>
      <c r="AE19">
        <v>21.27</v>
      </c>
      <c r="AF19">
        <v>21.3</v>
      </c>
      <c r="AG19">
        <v>21.33</v>
      </c>
      <c r="AH19">
        <v>21.36</v>
      </c>
      <c r="AI19">
        <v>21.39</v>
      </c>
      <c r="AJ19">
        <v>21.42</v>
      </c>
      <c r="AK19">
        <v>21.45</v>
      </c>
      <c r="AL19">
        <v>21.48</v>
      </c>
      <c r="AM19">
        <v>21.51</v>
      </c>
      <c r="AN19">
        <v>21.54</v>
      </c>
      <c r="AO19">
        <v>21.545000000000002</v>
      </c>
      <c r="AP19">
        <v>21.55</v>
      </c>
      <c r="AQ19">
        <f t="shared" si="11"/>
        <v>21.58</v>
      </c>
      <c r="AR19">
        <f t="shared" si="11"/>
        <v>21.61</v>
      </c>
      <c r="AS19">
        <f t="shared" si="11"/>
        <v>21.64</v>
      </c>
      <c r="AT19">
        <f t="shared" si="11"/>
        <v>21.67</v>
      </c>
      <c r="AU19">
        <f t="shared" si="9"/>
        <v>21.675000000000001</v>
      </c>
      <c r="AV19">
        <f t="shared" si="8"/>
        <v>21.68</v>
      </c>
      <c r="AW19">
        <f t="shared" si="7"/>
        <v>21.684999999999999</v>
      </c>
      <c r="AX19">
        <f t="shared" si="4"/>
        <v>21.69</v>
      </c>
      <c r="AY19">
        <f t="shared" si="5"/>
        <v>21.72</v>
      </c>
      <c r="AZ19">
        <v>21.8</v>
      </c>
      <c r="BA19">
        <v>21.83</v>
      </c>
      <c r="BB19">
        <f t="shared" ref="BB19:BI24" si="13">BA19+0.03</f>
        <v>21.86</v>
      </c>
      <c r="BC19">
        <f t="shared" si="13"/>
        <v>21.89</v>
      </c>
      <c r="BD19">
        <f t="shared" si="13"/>
        <v>21.92</v>
      </c>
      <c r="BE19">
        <f t="shared" si="13"/>
        <v>21.950000000000003</v>
      </c>
      <c r="BF19">
        <f t="shared" si="13"/>
        <v>21.980000000000004</v>
      </c>
      <c r="BG19">
        <f t="shared" si="13"/>
        <v>22.010000000000005</v>
      </c>
      <c r="BH19">
        <f t="shared" si="13"/>
        <v>22.040000000000006</v>
      </c>
      <c r="BI19">
        <f t="shared" si="13"/>
        <v>22.070000000000007</v>
      </c>
      <c r="BJ19" s="6">
        <v>22.1</v>
      </c>
      <c r="BK19" s="672"/>
    </row>
    <row r="20" spans="1:63" x14ac:dyDescent="0.25">
      <c r="A20" s="11">
        <v>5500</v>
      </c>
      <c r="B20" s="5">
        <v>20.399999999999999</v>
      </c>
      <c r="C20">
        <v>20.43</v>
      </c>
      <c r="D20">
        <v>20.46</v>
      </c>
      <c r="E20">
        <v>20.49</v>
      </c>
      <c r="F20">
        <v>20.52</v>
      </c>
      <c r="G20">
        <v>20.55</v>
      </c>
      <c r="H20">
        <v>20.58</v>
      </c>
      <c r="I20">
        <v>20.61</v>
      </c>
      <c r="J20">
        <v>20.64</v>
      </c>
      <c r="K20">
        <v>20.67</v>
      </c>
      <c r="L20">
        <v>20.7</v>
      </c>
      <c r="M20">
        <v>20.72</v>
      </c>
      <c r="N20">
        <v>20.74</v>
      </c>
      <c r="O20">
        <v>20.76</v>
      </c>
      <c r="P20">
        <v>20.78</v>
      </c>
      <c r="Q20">
        <v>20.8</v>
      </c>
      <c r="R20">
        <v>20.82</v>
      </c>
      <c r="S20">
        <v>20.84</v>
      </c>
      <c r="T20">
        <v>20.86</v>
      </c>
      <c r="U20">
        <v>20.88</v>
      </c>
      <c r="V20">
        <v>20.9</v>
      </c>
      <c r="W20">
        <v>20.93</v>
      </c>
      <c r="X20">
        <v>20.96</v>
      </c>
      <c r="Y20">
        <v>20.99</v>
      </c>
      <c r="Z20">
        <v>21.02</v>
      </c>
      <c r="AA20">
        <v>21.05</v>
      </c>
      <c r="AB20">
        <v>21.08</v>
      </c>
      <c r="AC20">
        <v>21.11</v>
      </c>
      <c r="AD20">
        <v>21.14</v>
      </c>
      <c r="AE20">
        <v>21.17</v>
      </c>
      <c r="AF20">
        <v>21.2</v>
      </c>
      <c r="AG20">
        <v>21.23</v>
      </c>
      <c r="AH20">
        <v>21.26</v>
      </c>
      <c r="AI20">
        <v>21.29</v>
      </c>
      <c r="AJ20">
        <v>21.32</v>
      </c>
      <c r="AK20">
        <v>21.35</v>
      </c>
      <c r="AL20">
        <v>21.38</v>
      </c>
      <c r="AM20">
        <v>21.41</v>
      </c>
      <c r="AN20">
        <v>21.414999999999999</v>
      </c>
      <c r="AO20">
        <v>21.42</v>
      </c>
      <c r="AP20">
        <v>21.425000000000001</v>
      </c>
      <c r="AQ20">
        <f t="shared" si="11"/>
        <v>21.454999999999998</v>
      </c>
      <c r="AR20">
        <f t="shared" si="11"/>
        <v>21.484999999999999</v>
      </c>
      <c r="AS20">
        <f t="shared" si="11"/>
        <v>21.515000000000001</v>
      </c>
      <c r="AT20">
        <f t="shared" si="11"/>
        <v>21.545000000000002</v>
      </c>
      <c r="AU20">
        <f t="shared" si="9"/>
        <v>21.55</v>
      </c>
      <c r="AV20">
        <f t="shared" si="8"/>
        <v>21.555</v>
      </c>
      <c r="AW20">
        <f t="shared" si="7"/>
        <v>21.56</v>
      </c>
      <c r="AX20">
        <f t="shared" si="4"/>
        <v>21.565000000000001</v>
      </c>
      <c r="AY20">
        <f t="shared" si="5"/>
        <v>21.594999999999999</v>
      </c>
      <c r="AZ20">
        <v>21.7</v>
      </c>
      <c r="BA20">
        <v>21.73</v>
      </c>
      <c r="BB20">
        <f t="shared" si="13"/>
        <v>21.76</v>
      </c>
      <c r="BC20">
        <f t="shared" si="13"/>
        <v>21.790000000000003</v>
      </c>
      <c r="BD20">
        <f t="shared" si="13"/>
        <v>21.820000000000004</v>
      </c>
      <c r="BE20">
        <f t="shared" si="13"/>
        <v>21.850000000000005</v>
      </c>
      <c r="BF20">
        <f t="shared" si="13"/>
        <v>21.880000000000006</v>
      </c>
      <c r="BG20">
        <f t="shared" si="13"/>
        <v>21.910000000000007</v>
      </c>
      <c r="BH20">
        <f t="shared" si="13"/>
        <v>21.940000000000008</v>
      </c>
      <c r="BI20">
        <f t="shared" si="13"/>
        <v>21.97000000000001</v>
      </c>
      <c r="BJ20" s="6">
        <v>22</v>
      </c>
      <c r="BK20" s="672"/>
    </row>
    <row r="21" spans="1:63" x14ac:dyDescent="0.25">
      <c r="A21" s="24">
        <v>6000</v>
      </c>
      <c r="B21" s="15">
        <v>20.3</v>
      </c>
      <c r="C21">
        <v>20.329999999999998</v>
      </c>
      <c r="D21">
        <v>20.36</v>
      </c>
      <c r="E21">
        <v>20.39</v>
      </c>
      <c r="F21">
        <v>20.420000000000002</v>
      </c>
      <c r="G21">
        <v>20.45</v>
      </c>
      <c r="H21">
        <v>20.48</v>
      </c>
      <c r="I21">
        <v>20.51</v>
      </c>
      <c r="J21">
        <v>20.54</v>
      </c>
      <c r="K21">
        <v>20.57</v>
      </c>
      <c r="L21" s="18">
        <v>20.6</v>
      </c>
      <c r="M21">
        <v>20.62</v>
      </c>
      <c r="N21">
        <v>20.64</v>
      </c>
      <c r="O21">
        <v>20.66</v>
      </c>
      <c r="P21">
        <v>20.68</v>
      </c>
      <c r="Q21">
        <v>20.7</v>
      </c>
      <c r="R21">
        <v>20.72</v>
      </c>
      <c r="S21">
        <v>20.74</v>
      </c>
      <c r="T21">
        <v>20.76</v>
      </c>
      <c r="U21">
        <v>20.78</v>
      </c>
      <c r="V21" s="83">
        <v>20.8</v>
      </c>
      <c r="W21">
        <v>20.83</v>
      </c>
      <c r="X21" s="84">
        <v>20.86</v>
      </c>
      <c r="Y21">
        <v>20.89</v>
      </c>
      <c r="Z21" s="84">
        <v>20.92</v>
      </c>
      <c r="AA21">
        <v>20.95</v>
      </c>
      <c r="AB21" s="84">
        <v>20.98</v>
      </c>
      <c r="AC21">
        <v>21.01</v>
      </c>
      <c r="AD21" s="84">
        <v>21.04</v>
      </c>
      <c r="AE21">
        <v>21.07</v>
      </c>
      <c r="AF21" s="83">
        <v>21.1</v>
      </c>
      <c r="AG21">
        <v>21.13</v>
      </c>
      <c r="AH21">
        <v>21.16</v>
      </c>
      <c r="AI21">
        <v>21.19</v>
      </c>
      <c r="AJ21">
        <v>21.22</v>
      </c>
      <c r="AK21">
        <v>21.25</v>
      </c>
      <c r="AL21">
        <v>21.28</v>
      </c>
      <c r="AM21">
        <v>21.285</v>
      </c>
      <c r="AN21">
        <v>21.29</v>
      </c>
      <c r="AO21">
        <v>21.295000000000002</v>
      </c>
      <c r="AP21" s="18">
        <v>21.3</v>
      </c>
      <c r="AQ21">
        <f t="shared" si="11"/>
        <v>21.33</v>
      </c>
      <c r="AR21">
        <f t="shared" si="11"/>
        <v>21.36</v>
      </c>
      <c r="AS21">
        <f t="shared" si="11"/>
        <v>21.39</v>
      </c>
      <c r="AT21">
        <f t="shared" si="11"/>
        <v>21.42</v>
      </c>
      <c r="AU21">
        <f t="shared" si="9"/>
        <v>21.425000000000001</v>
      </c>
      <c r="AV21">
        <f t="shared" si="8"/>
        <v>21.43</v>
      </c>
      <c r="AW21">
        <f t="shared" si="7"/>
        <v>21.434999999999999</v>
      </c>
      <c r="AX21">
        <f t="shared" si="4"/>
        <v>21.44</v>
      </c>
      <c r="AY21">
        <f t="shared" si="5"/>
        <v>21.47</v>
      </c>
      <c r="AZ21" s="18">
        <v>21.6</v>
      </c>
      <c r="BA21">
        <v>21.63</v>
      </c>
      <c r="BB21">
        <f t="shared" si="13"/>
        <v>21.66</v>
      </c>
      <c r="BC21">
        <f t="shared" si="13"/>
        <v>21.69</v>
      </c>
      <c r="BD21">
        <f t="shared" si="13"/>
        <v>21.720000000000002</v>
      </c>
      <c r="BE21">
        <f t="shared" si="13"/>
        <v>21.750000000000004</v>
      </c>
      <c r="BF21">
        <f t="shared" si="13"/>
        <v>21.780000000000005</v>
      </c>
      <c r="BG21">
        <f t="shared" si="13"/>
        <v>21.810000000000006</v>
      </c>
      <c r="BH21">
        <f t="shared" si="13"/>
        <v>21.840000000000007</v>
      </c>
      <c r="BI21">
        <f t="shared" si="13"/>
        <v>21.870000000000008</v>
      </c>
      <c r="BJ21" s="21">
        <v>21.9</v>
      </c>
      <c r="BK21" s="672"/>
    </row>
    <row r="22" spans="1:63" x14ac:dyDescent="0.25">
      <c r="A22" s="11">
        <v>6500</v>
      </c>
      <c r="B22" s="5">
        <v>20.2</v>
      </c>
      <c r="C22">
        <v>20.23</v>
      </c>
      <c r="D22">
        <v>20.260000000000002</v>
      </c>
      <c r="E22">
        <v>20.29</v>
      </c>
      <c r="F22">
        <v>20.32</v>
      </c>
      <c r="G22">
        <v>20.350000000000001</v>
      </c>
      <c r="H22">
        <v>20.38</v>
      </c>
      <c r="I22">
        <v>20.41</v>
      </c>
      <c r="J22">
        <v>20.440000000000001</v>
      </c>
      <c r="K22">
        <v>20.47</v>
      </c>
      <c r="L22">
        <v>20.5</v>
      </c>
      <c r="M22">
        <v>20.52</v>
      </c>
      <c r="N22">
        <v>20.54</v>
      </c>
      <c r="O22">
        <v>20.56</v>
      </c>
      <c r="P22">
        <v>20.58</v>
      </c>
      <c r="Q22">
        <v>20.6</v>
      </c>
      <c r="R22">
        <v>20.62</v>
      </c>
      <c r="S22">
        <v>20.64</v>
      </c>
      <c r="T22">
        <v>20.66</v>
      </c>
      <c r="U22">
        <v>20.68</v>
      </c>
      <c r="V22">
        <v>20.7</v>
      </c>
      <c r="W22">
        <v>20.73</v>
      </c>
      <c r="X22">
        <v>20.76</v>
      </c>
      <c r="Y22">
        <v>20.79</v>
      </c>
      <c r="Z22">
        <v>20.82</v>
      </c>
      <c r="AA22">
        <v>20.85</v>
      </c>
      <c r="AB22">
        <v>20.88</v>
      </c>
      <c r="AC22">
        <v>20.91</v>
      </c>
      <c r="AD22">
        <v>20.94</v>
      </c>
      <c r="AE22">
        <v>20.97</v>
      </c>
      <c r="AF22">
        <v>21</v>
      </c>
      <c r="AG22">
        <v>21.02</v>
      </c>
      <c r="AH22">
        <v>21.04</v>
      </c>
      <c r="AI22">
        <v>21.06</v>
      </c>
      <c r="AJ22">
        <v>21.08</v>
      </c>
      <c r="AK22">
        <v>21.1</v>
      </c>
      <c r="AL22">
        <v>21.12</v>
      </c>
      <c r="AM22">
        <v>21.14</v>
      </c>
      <c r="AN22">
        <v>21.16</v>
      </c>
      <c r="AO22">
        <v>21.18</v>
      </c>
      <c r="AP22">
        <v>21.2</v>
      </c>
      <c r="AQ22">
        <v>21.23</v>
      </c>
      <c r="AR22">
        <v>21.26</v>
      </c>
      <c r="AS22">
        <v>21.29</v>
      </c>
      <c r="AT22">
        <v>21.32</v>
      </c>
      <c r="AU22">
        <v>21.35</v>
      </c>
      <c r="AV22">
        <v>21.38</v>
      </c>
      <c r="AW22">
        <v>21.41</v>
      </c>
      <c r="AX22">
        <v>21.44</v>
      </c>
      <c r="AY22">
        <v>21.47</v>
      </c>
      <c r="AZ22">
        <v>21.5</v>
      </c>
      <c r="BA22">
        <v>21.53</v>
      </c>
      <c r="BB22">
        <f t="shared" si="13"/>
        <v>21.560000000000002</v>
      </c>
      <c r="BC22">
        <f t="shared" si="13"/>
        <v>21.590000000000003</v>
      </c>
      <c r="BD22">
        <f t="shared" si="13"/>
        <v>21.620000000000005</v>
      </c>
      <c r="BE22">
        <f t="shared" si="13"/>
        <v>21.650000000000006</v>
      </c>
      <c r="BF22">
        <f t="shared" si="13"/>
        <v>21.680000000000007</v>
      </c>
      <c r="BG22">
        <f t="shared" si="13"/>
        <v>21.710000000000008</v>
      </c>
      <c r="BH22">
        <f t="shared" si="13"/>
        <v>21.740000000000009</v>
      </c>
      <c r="BI22">
        <f t="shared" si="13"/>
        <v>21.77000000000001</v>
      </c>
      <c r="BJ22" s="6">
        <v>21.8</v>
      </c>
      <c r="BK22" s="672"/>
    </row>
    <row r="23" spans="1:63" x14ac:dyDescent="0.25">
      <c r="A23" s="11">
        <v>7000</v>
      </c>
      <c r="B23" s="5">
        <v>20.100000000000001</v>
      </c>
      <c r="C23">
        <v>20.13</v>
      </c>
      <c r="D23">
        <v>20.16</v>
      </c>
      <c r="E23">
        <v>20.190000000000001</v>
      </c>
      <c r="F23">
        <v>20.22</v>
      </c>
      <c r="G23">
        <v>20.25</v>
      </c>
      <c r="H23">
        <v>20.28</v>
      </c>
      <c r="I23">
        <v>20.309999999999999</v>
      </c>
      <c r="J23">
        <v>20.34</v>
      </c>
      <c r="K23">
        <v>20.37</v>
      </c>
      <c r="L23">
        <v>20.399999999999999</v>
      </c>
      <c r="M23">
        <v>20.420000000000002</v>
      </c>
      <c r="N23">
        <v>20.440000000000001</v>
      </c>
      <c r="O23">
        <v>20.46</v>
      </c>
      <c r="P23">
        <v>20.48</v>
      </c>
      <c r="Q23">
        <v>20.5</v>
      </c>
      <c r="R23">
        <v>20.52</v>
      </c>
      <c r="S23">
        <v>20.54</v>
      </c>
      <c r="T23">
        <v>20.56</v>
      </c>
      <c r="U23">
        <v>20.58</v>
      </c>
      <c r="V23">
        <v>20.6</v>
      </c>
      <c r="W23">
        <v>20.63</v>
      </c>
      <c r="X23">
        <v>20.66</v>
      </c>
      <c r="Y23">
        <v>20.69</v>
      </c>
      <c r="Z23">
        <v>20.72</v>
      </c>
      <c r="AA23">
        <v>20.75</v>
      </c>
      <c r="AB23">
        <v>20.78</v>
      </c>
      <c r="AC23">
        <v>20.81</v>
      </c>
      <c r="AD23">
        <v>20.84</v>
      </c>
      <c r="AE23">
        <v>20.87</v>
      </c>
      <c r="AF23">
        <v>20.9</v>
      </c>
      <c r="AG23">
        <v>20.92</v>
      </c>
      <c r="AH23">
        <v>20.94</v>
      </c>
      <c r="AI23">
        <v>20.96</v>
      </c>
      <c r="AJ23">
        <v>20.98</v>
      </c>
      <c r="AK23">
        <v>21</v>
      </c>
      <c r="AL23">
        <v>21.02</v>
      </c>
      <c r="AM23">
        <v>21.04</v>
      </c>
      <c r="AN23">
        <v>21.06</v>
      </c>
      <c r="AO23">
        <v>21.08</v>
      </c>
      <c r="AP23">
        <v>21.1</v>
      </c>
      <c r="AQ23">
        <v>21.13</v>
      </c>
      <c r="AR23">
        <v>21.16</v>
      </c>
      <c r="AS23">
        <v>21.19</v>
      </c>
      <c r="AT23">
        <v>21.22</v>
      </c>
      <c r="AU23">
        <v>21.25</v>
      </c>
      <c r="AV23">
        <v>21.28</v>
      </c>
      <c r="AW23">
        <v>21.31</v>
      </c>
      <c r="AX23">
        <v>21.34</v>
      </c>
      <c r="AY23">
        <v>21.37</v>
      </c>
      <c r="AZ23">
        <v>21.4</v>
      </c>
      <c r="BA23">
        <v>21.43</v>
      </c>
      <c r="BB23">
        <f t="shared" si="13"/>
        <v>21.46</v>
      </c>
      <c r="BC23">
        <f t="shared" si="13"/>
        <v>21.490000000000002</v>
      </c>
      <c r="BD23">
        <f t="shared" si="13"/>
        <v>21.520000000000003</v>
      </c>
      <c r="BE23">
        <f t="shared" si="13"/>
        <v>21.550000000000004</v>
      </c>
      <c r="BF23">
        <f t="shared" si="13"/>
        <v>21.580000000000005</v>
      </c>
      <c r="BG23">
        <f t="shared" si="13"/>
        <v>21.610000000000007</v>
      </c>
      <c r="BH23">
        <f t="shared" si="13"/>
        <v>21.640000000000008</v>
      </c>
      <c r="BI23">
        <f t="shared" si="13"/>
        <v>21.670000000000009</v>
      </c>
      <c r="BJ23" s="6">
        <v>21.7</v>
      </c>
      <c r="BK23" s="672"/>
    </row>
    <row r="24" spans="1:63" x14ac:dyDescent="0.25">
      <c r="A24" s="11">
        <v>7500</v>
      </c>
      <c r="B24" s="5">
        <v>20</v>
      </c>
      <c r="C24">
        <v>20.03</v>
      </c>
      <c r="D24">
        <v>20.059999999999999</v>
      </c>
      <c r="E24">
        <v>20.09</v>
      </c>
      <c r="F24">
        <v>20.12</v>
      </c>
      <c r="G24">
        <v>20.149999999999999</v>
      </c>
      <c r="H24">
        <v>20.18</v>
      </c>
      <c r="I24">
        <v>20.21</v>
      </c>
      <c r="J24">
        <v>20.239999999999998</v>
      </c>
      <c r="K24">
        <v>20.27</v>
      </c>
      <c r="L24">
        <v>20.3</v>
      </c>
      <c r="M24">
        <v>20.32</v>
      </c>
      <c r="N24">
        <v>20.34</v>
      </c>
      <c r="O24">
        <v>20.36</v>
      </c>
      <c r="P24">
        <v>20.38</v>
      </c>
      <c r="Q24">
        <v>20.399999999999999</v>
      </c>
      <c r="R24">
        <v>20.420000000000002</v>
      </c>
      <c r="S24">
        <v>20.440000000000001</v>
      </c>
      <c r="T24">
        <v>20.46</v>
      </c>
      <c r="U24">
        <v>20.48</v>
      </c>
      <c r="V24">
        <v>20.5</v>
      </c>
      <c r="W24">
        <v>20.53</v>
      </c>
      <c r="X24">
        <v>20.56</v>
      </c>
      <c r="Y24">
        <v>20.59</v>
      </c>
      <c r="Z24">
        <v>20.62</v>
      </c>
      <c r="AA24">
        <v>20.65</v>
      </c>
      <c r="AB24">
        <v>20.68</v>
      </c>
      <c r="AC24">
        <v>20.71</v>
      </c>
      <c r="AD24">
        <v>20.74</v>
      </c>
      <c r="AE24">
        <v>20.77</v>
      </c>
      <c r="AF24">
        <v>20.8</v>
      </c>
      <c r="AG24">
        <v>20.82</v>
      </c>
      <c r="AH24">
        <v>20.84</v>
      </c>
      <c r="AI24">
        <v>20.86</v>
      </c>
      <c r="AJ24">
        <v>20.88</v>
      </c>
      <c r="AK24">
        <v>20.9</v>
      </c>
      <c r="AL24">
        <v>20.92</v>
      </c>
      <c r="AM24">
        <v>20.94</v>
      </c>
      <c r="AN24">
        <v>20.96</v>
      </c>
      <c r="AO24">
        <v>20.98</v>
      </c>
      <c r="AP24">
        <v>21</v>
      </c>
      <c r="AQ24">
        <v>21.03</v>
      </c>
      <c r="AR24">
        <v>21.06</v>
      </c>
      <c r="AS24">
        <v>21.09</v>
      </c>
      <c r="AT24">
        <v>21.12</v>
      </c>
      <c r="AU24">
        <v>21.15</v>
      </c>
      <c r="AV24">
        <v>21.18</v>
      </c>
      <c r="AW24">
        <v>21.21</v>
      </c>
      <c r="AX24">
        <v>21.24</v>
      </c>
      <c r="AY24">
        <v>21.27</v>
      </c>
      <c r="AZ24">
        <v>21.3</v>
      </c>
      <c r="BA24">
        <v>21.33</v>
      </c>
      <c r="BB24">
        <f t="shared" si="13"/>
        <v>21.36</v>
      </c>
      <c r="BC24">
        <f t="shared" si="13"/>
        <v>21.39</v>
      </c>
      <c r="BD24">
        <f t="shared" si="13"/>
        <v>21.42</v>
      </c>
      <c r="BE24">
        <f t="shared" si="13"/>
        <v>21.450000000000003</v>
      </c>
      <c r="BF24">
        <f t="shared" si="13"/>
        <v>21.480000000000004</v>
      </c>
      <c r="BG24">
        <f t="shared" si="13"/>
        <v>21.510000000000005</v>
      </c>
      <c r="BH24">
        <f t="shared" si="13"/>
        <v>21.540000000000006</v>
      </c>
      <c r="BI24">
        <f t="shared" si="13"/>
        <v>21.570000000000007</v>
      </c>
      <c r="BJ24" s="6">
        <v>21.6</v>
      </c>
      <c r="BK24" s="672"/>
    </row>
    <row r="25" spans="1:63" x14ac:dyDescent="0.25">
      <c r="A25" s="24">
        <v>8000</v>
      </c>
      <c r="B25" s="15">
        <v>19.899999999999999</v>
      </c>
      <c r="C25">
        <v>19.93</v>
      </c>
      <c r="D25">
        <v>19.96</v>
      </c>
      <c r="E25">
        <v>19.989999999999998</v>
      </c>
      <c r="F25">
        <v>20.02</v>
      </c>
      <c r="G25">
        <v>20.05</v>
      </c>
      <c r="H25">
        <v>20.079999999999998</v>
      </c>
      <c r="I25">
        <v>20.11</v>
      </c>
      <c r="J25">
        <v>20.14</v>
      </c>
      <c r="K25">
        <v>20.170000000000002</v>
      </c>
      <c r="L25" s="18">
        <v>20.2</v>
      </c>
      <c r="M25" s="8">
        <v>20.22</v>
      </c>
      <c r="N25" s="8">
        <v>20.239999999999998</v>
      </c>
      <c r="O25" s="8">
        <v>20.260000000000002</v>
      </c>
      <c r="P25" s="8">
        <v>20.28</v>
      </c>
      <c r="Q25" s="8">
        <v>20.3</v>
      </c>
      <c r="R25" s="8">
        <v>20.32</v>
      </c>
      <c r="S25" s="8">
        <v>20.34</v>
      </c>
      <c r="T25" s="8">
        <v>20.36</v>
      </c>
      <c r="U25" s="8">
        <v>20.38</v>
      </c>
      <c r="V25" s="85">
        <v>20.399999999999999</v>
      </c>
      <c r="W25" s="8">
        <v>20.43</v>
      </c>
      <c r="X25" s="86">
        <v>20.46</v>
      </c>
      <c r="Y25" s="8">
        <v>20.49</v>
      </c>
      <c r="Z25" s="86">
        <v>20.52</v>
      </c>
      <c r="AA25" s="8">
        <v>20.55</v>
      </c>
      <c r="AB25" s="86">
        <v>20.58</v>
      </c>
      <c r="AC25" s="8">
        <v>20.61</v>
      </c>
      <c r="AD25" s="86">
        <v>20.64</v>
      </c>
      <c r="AE25" s="8">
        <v>20.67</v>
      </c>
      <c r="AF25" s="18">
        <v>20.7</v>
      </c>
      <c r="AG25" s="8">
        <v>20.72</v>
      </c>
      <c r="AH25" s="8">
        <v>20.74</v>
      </c>
      <c r="AI25" s="8">
        <v>20.76</v>
      </c>
      <c r="AJ25" s="8">
        <v>20.78</v>
      </c>
      <c r="AK25" s="8">
        <v>20.8</v>
      </c>
      <c r="AL25" s="8">
        <v>20.82</v>
      </c>
      <c r="AM25" s="8">
        <v>20.84</v>
      </c>
      <c r="AN25" s="8">
        <v>20.86</v>
      </c>
      <c r="AO25" s="8">
        <v>20.88</v>
      </c>
      <c r="AP25" s="85">
        <v>20.9</v>
      </c>
      <c r="AQ25" s="8">
        <v>20.93</v>
      </c>
      <c r="AR25" s="8">
        <v>20.96</v>
      </c>
      <c r="AS25" s="8">
        <v>20.99</v>
      </c>
      <c r="AT25" s="8">
        <v>21.02</v>
      </c>
      <c r="AU25" s="8">
        <v>21.05</v>
      </c>
      <c r="AV25" s="8">
        <v>21.08</v>
      </c>
      <c r="AW25">
        <v>21.11</v>
      </c>
      <c r="AX25">
        <v>21.14</v>
      </c>
      <c r="AY25">
        <v>21.17</v>
      </c>
      <c r="AZ25" s="18" t="s">
        <v>269</v>
      </c>
      <c r="BA25" t="s">
        <v>269</v>
      </c>
      <c r="BB25" t="s">
        <v>269</v>
      </c>
      <c r="BC25" t="s">
        <v>269</v>
      </c>
      <c r="BD25" t="s">
        <v>269</v>
      </c>
      <c r="BE25" t="s">
        <v>269</v>
      </c>
      <c r="BF25" t="s">
        <v>269</v>
      </c>
      <c r="BG25" t="s">
        <v>269</v>
      </c>
      <c r="BH25" t="s">
        <v>269</v>
      </c>
      <c r="BI25" t="s">
        <v>269</v>
      </c>
      <c r="BJ25" s="21" t="s">
        <v>269</v>
      </c>
      <c r="BK25" s="672"/>
    </row>
    <row r="26" spans="1:63" x14ac:dyDescent="0.25">
      <c r="A26" s="13">
        <v>8500</v>
      </c>
      <c r="B26" s="25">
        <v>19.8</v>
      </c>
      <c r="C26" s="3">
        <v>19.829999999999998</v>
      </c>
      <c r="D26" s="3">
        <v>19.86</v>
      </c>
      <c r="E26" s="3">
        <v>19.89</v>
      </c>
      <c r="F26" s="3">
        <v>19.920000000000002</v>
      </c>
      <c r="G26" s="3">
        <v>19.95</v>
      </c>
      <c r="H26" s="3">
        <v>19.98</v>
      </c>
      <c r="I26" s="3">
        <v>20.010000000000002</v>
      </c>
      <c r="J26" s="3">
        <v>20.04</v>
      </c>
      <c r="K26" s="3">
        <v>20.07</v>
      </c>
      <c r="L26" s="3">
        <v>20.100000000000001</v>
      </c>
      <c r="M26">
        <v>20.12</v>
      </c>
      <c r="N26">
        <v>20.14</v>
      </c>
      <c r="O26">
        <v>20.16</v>
      </c>
      <c r="P26">
        <v>20.18</v>
      </c>
      <c r="Q26">
        <v>20.2</v>
      </c>
      <c r="R26">
        <v>20.22</v>
      </c>
      <c r="S26">
        <v>20.239999999999998</v>
      </c>
      <c r="T26">
        <v>20.260000000000002</v>
      </c>
      <c r="U26">
        <v>20.28</v>
      </c>
      <c r="V26" s="84">
        <v>20.3</v>
      </c>
      <c r="W26">
        <v>20.329999999999998</v>
      </c>
      <c r="X26">
        <v>20.36</v>
      </c>
      <c r="Y26">
        <v>20.39</v>
      </c>
      <c r="Z26">
        <v>20.420000000000002</v>
      </c>
      <c r="AA26">
        <v>20.45</v>
      </c>
      <c r="AB26">
        <v>20.48</v>
      </c>
      <c r="AC26">
        <v>20.51</v>
      </c>
      <c r="AD26">
        <v>20.54</v>
      </c>
      <c r="AE26">
        <v>20.57</v>
      </c>
      <c r="AF26" s="3">
        <v>20.6</v>
      </c>
      <c r="AG26">
        <v>20.62</v>
      </c>
      <c r="AH26">
        <v>20.64</v>
      </c>
      <c r="AI26">
        <v>20.66</v>
      </c>
      <c r="AJ26">
        <v>20.68</v>
      </c>
      <c r="AK26">
        <v>20.7</v>
      </c>
      <c r="AL26">
        <v>20.72</v>
      </c>
      <c r="AM26">
        <v>20.74</v>
      </c>
      <c r="AN26">
        <v>20.76</v>
      </c>
      <c r="AO26">
        <v>20.78</v>
      </c>
      <c r="AP26">
        <v>20.8</v>
      </c>
      <c r="AQ26">
        <v>20.83</v>
      </c>
      <c r="AR26">
        <v>20.86</v>
      </c>
      <c r="AS26">
        <v>20.89</v>
      </c>
      <c r="AT26">
        <v>20.92</v>
      </c>
      <c r="AU26">
        <v>20.95</v>
      </c>
      <c r="AV26" t="s">
        <v>269</v>
      </c>
      <c r="AW26" s="3" t="s">
        <v>269</v>
      </c>
      <c r="AX26" s="3" t="s">
        <v>269</v>
      </c>
      <c r="AY26" s="3" t="s">
        <v>269</v>
      </c>
      <c r="AZ26" s="3" t="s">
        <v>270</v>
      </c>
      <c r="BA26" s="3" t="s">
        <v>270</v>
      </c>
      <c r="BB26" s="3" t="s">
        <v>270</v>
      </c>
      <c r="BC26" s="3" t="s">
        <v>270</v>
      </c>
      <c r="BD26" s="3" t="s">
        <v>270</v>
      </c>
      <c r="BE26" s="3" t="s">
        <v>270</v>
      </c>
      <c r="BF26" s="3" t="s">
        <v>270</v>
      </c>
      <c r="BG26" s="3" t="s">
        <v>270</v>
      </c>
      <c r="BH26" s="3" t="s">
        <v>270</v>
      </c>
      <c r="BI26" s="3" t="s">
        <v>270</v>
      </c>
      <c r="BJ26" s="4" t="s">
        <v>270</v>
      </c>
      <c r="BK26" s="672" t="s">
        <v>271</v>
      </c>
    </row>
    <row r="27" spans="1:63" x14ac:dyDescent="0.25">
      <c r="A27" s="11">
        <v>9000</v>
      </c>
      <c r="B27" s="5">
        <v>19.7</v>
      </c>
      <c r="C27">
        <v>19.73</v>
      </c>
      <c r="D27">
        <v>19.760000000000002</v>
      </c>
      <c r="E27">
        <v>19.79</v>
      </c>
      <c r="F27">
        <v>19.82</v>
      </c>
      <c r="G27">
        <v>19.850000000000001</v>
      </c>
      <c r="H27">
        <v>19.88</v>
      </c>
      <c r="I27">
        <v>19.91</v>
      </c>
      <c r="J27">
        <v>19.940000000000001</v>
      </c>
      <c r="K27">
        <v>19.97</v>
      </c>
      <c r="L27">
        <v>20</v>
      </c>
      <c r="M27">
        <v>20.02</v>
      </c>
      <c r="N27">
        <v>20.04</v>
      </c>
      <c r="O27">
        <v>20.059999999999999</v>
      </c>
      <c r="P27">
        <v>20.079999999999998</v>
      </c>
      <c r="Q27">
        <v>20.100000000000001</v>
      </c>
      <c r="R27">
        <v>20.12</v>
      </c>
      <c r="S27">
        <v>20.14</v>
      </c>
      <c r="T27">
        <v>20.16</v>
      </c>
      <c r="U27">
        <v>20.18</v>
      </c>
      <c r="V27" s="84">
        <v>20.2</v>
      </c>
      <c r="W27">
        <v>20.23</v>
      </c>
      <c r="X27" s="84">
        <v>20.260000000000002</v>
      </c>
      <c r="Y27">
        <v>20.29</v>
      </c>
      <c r="Z27" s="84">
        <v>20.32</v>
      </c>
      <c r="AA27">
        <v>20.350000000000001</v>
      </c>
      <c r="AB27" s="84">
        <v>20.38</v>
      </c>
      <c r="AC27">
        <v>20.41</v>
      </c>
      <c r="AD27" s="84">
        <v>20.440000000000001</v>
      </c>
      <c r="AE27">
        <v>20.47</v>
      </c>
      <c r="AF27">
        <v>20.5</v>
      </c>
      <c r="AG27">
        <v>20.52</v>
      </c>
      <c r="AH27">
        <v>20.54</v>
      </c>
      <c r="AI27">
        <v>20.56</v>
      </c>
      <c r="AJ27">
        <v>20.58</v>
      </c>
      <c r="AK27">
        <v>20.6</v>
      </c>
      <c r="AL27">
        <v>20.62</v>
      </c>
      <c r="AM27">
        <v>20.64</v>
      </c>
      <c r="AN27">
        <v>20.66</v>
      </c>
      <c r="AO27">
        <v>20.68</v>
      </c>
      <c r="AP27" s="84">
        <v>20.7</v>
      </c>
      <c r="AQ27">
        <v>20.73</v>
      </c>
      <c r="AR27" t="s">
        <v>269</v>
      </c>
      <c r="AS27" t="s">
        <v>269</v>
      </c>
      <c r="AT27" t="s">
        <v>269</v>
      </c>
      <c r="AU27" t="s">
        <v>269</v>
      </c>
      <c r="AV27" t="s">
        <v>270</v>
      </c>
      <c r="AW27" t="s">
        <v>270</v>
      </c>
      <c r="AX27" t="s">
        <v>270</v>
      </c>
      <c r="AY27" t="s">
        <v>270</v>
      </c>
      <c r="AZ27" t="s">
        <v>270</v>
      </c>
      <c r="BA27" t="s">
        <v>270</v>
      </c>
      <c r="BB27" t="s">
        <v>270</v>
      </c>
      <c r="BC27" t="s">
        <v>270</v>
      </c>
      <c r="BD27" t="s">
        <v>270</v>
      </c>
      <c r="BE27" t="s">
        <v>270</v>
      </c>
      <c r="BF27" t="s">
        <v>270</v>
      </c>
      <c r="BG27" t="s">
        <v>270</v>
      </c>
      <c r="BH27" t="s">
        <v>270</v>
      </c>
      <c r="BI27" t="s">
        <v>270</v>
      </c>
      <c r="BJ27" s="6" t="s">
        <v>270</v>
      </c>
      <c r="BK27" s="672"/>
    </row>
    <row r="28" spans="1:63" x14ac:dyDescent="0.25">
      <c r="A28" s="11">
        <v>9500</v>
      </c>
      <c r="B28" s="5">
        <v>19.600000000000001</v>
      </c>
      <c r="C28">
        <v>19.63</v>
      </c>
      <c r="D28">
        <v>19.66</v>
      </c>
      <c r="E28">
        <v>19.690000000000001</v>
      </c>
      <c r="F28">
        <v>19.72</v>
      </c>
      <c r="G28">
        <v>19.75</v>
      </c>
      <c r="H28">
        <v>19.78</v>
      </c>
      <c r="I28">
        <v>19.809999999999999</v>
      </c>
      <c r="J28">
        <v>19.84</v>
      </c>
      <c r="K28">
        <v>19.87</v>
      </c>
      <c r="L28">
        <v>19.899999999999999</v>
      </c>
      <c r="M28">
        <v>19.920000000000002</v>
      </c>
      <c r="N28">
        <v>19.940000000000001</v>
      </c>
      <c r="O28">
        <v>19.96</v>
      </c>
      <c r="P28">
        <v>19.98</v>
      </c>
      <c r="Q28">
        <v>20</v>
      </c>
      <c r="R28">
        <v>20.02</v>
      </c>
      <c r="S28">
        <v>20.04</v>
      </c>
      <c r="T28">
        <v>20.059999999999999</v>
      </c>
      <c r="U28">
        <v>20.079999999999998</v>
      </c>
      <c r="V28" s="84">
        <v>20.100000000000001</v>
      </c>
      <c r="W28">
        <v>20.13</v>
      </c>
      <c r="X28">
        <v>20.16</v>
      </c>
      <c r="Y28">
        <v>20.190000000000001</v>
      </c>
      <c r="Z28">
        <v>20.22</v>
      </c>
      <c r="AA28">
        <v>20.25</v>
      </c>
      <c r="AB28">
        <v>20.28</v>
      </c>
      <c r="AC28">
        <v>20.309999999999999</v>
      </c>
      <c r="AD28">
        <v>20.34</v>
      </c>
      <c r="AE28">
        <v>20.37</v>
      </c>
      <c r="AF28">
        <v>20.399999999999999</v>
      </c>
      <c r="AG28">
        <v>20.420000000000002</v>
      </c>
      <c r="AH28">
        <v>20.440000000000001</v>
      </c>
      <c r="AI28">
        <v>20.46</v>
      </c>
      <c r="AJ28">
        <v>20.48</v>
      </c>
      <c r="AK28">
        <v>20.5</v>
      </c>
      <c r="AL28">
        <v>20.52</v>
      </c>
      <c r="AM28">
        <v>20.54</v>
      </c>
      <c r="AN28">
        <v>20.56</v>
      </c>
      <c r="AO28" t="s">
        <v>269</v>
      </c>
      <c r="AP28" t="s">
        <v>269</v>
      </c>
      <c r="AQ28" t="s">
        <v>269</v>
      </c>
      <c r="AR28" t="s">
        <v>270</v>
      </c>
      <c r="AS28" t="s">
        <v>270</v>
      </c>
      <c r="AT28" t="s">
        <v>270</v>
      </c>
      <c r="AU28" t="s">
        <v>270</v>
      </c>
      <c r="AV28" t="s">
        <v>270</v>
      </c>
      <c r="AW28" t="s">
        <v>270</v>
      </c>
      <c r="AX28" t="s">
        <v>270</v>
      </c>
      <c r="AY28" t="s">
        <v>270</v>
      </c>
      <c r="AZ28" t="s">
        <v>270</v>
      </c>
      <c r="BA28" t="s">
        <v>270</v>
      </c>
      <c r="BB28" t="s">
        <v>270</v>
      </c>
      <c r="BC28" t="s">
        <v>270</v>
      </c>
      <c r="BD28" t="s">
        <v>270</v>
      </c>
      <c r="BE28" t="s">
        <v>270</v>
      </c>
      <c r="BF28" t="s">
        <v>270</v>
      </c>
      <c r="BG28" t="s">
        <v>270</v>
      </c>
      <c r="BH28" t="s">
        <v>270</v>
      </c>
      <c r="BI28" t="s">
        <v>270</v>
      </c>
      <c r="BJ28" s="6" t="s">
        <v>270</v>
      </c>
      <c r="BK28" s="672"/>
    </row>
    <row r="29" spans="1:63" x14ac:dyDescent="0.25">
      <c r="A29" s="11">
        <v>10000</v>
      </c>
      <c r="B29" s="5">
        <v>19.5</v>
      </c>
      <c r="C29">
        <v>19.53</v>
      </c>
      <c r="D29">
        <v>19.559999999999999</v>
      </c>
      <c r="E29">
        <v>19.59</v>
      </c>
      <c r="F29">
        <v>19.62</v>
      </c>
      <c r="G29">
        <v>19.649999999999999</v>
      </c>
      <c r="H29">
        <v>19.68</v>
      </c>
      <c r="I29">
        <v>19.71</v>
      </c>
      <c r="J29">
        <v>19.739999999999998</v>
      </c>
      <c r="K29">
        <v>19.77</v>
      </c>
      <c r="L29">
        <v>19.8</v>
      </c>
      <c r="M29">
        <v>19.82</v>
      </c>
      <c r="N29">
        <v>19.84</v>
      </c>
      <c r="O29">
        <v>19.86</v>
      </c>
      <c r="P29">
        <v>19.88</v>
      </c>
      <c r="Q29">
        <v>19.899999999999999</v>
      </c>
      <c r="R29">
        <v>19.920000000000002</v>
      </c>
      <c r="S29">
        <v>19.940000000000001</v>
      </c>
      <c r="T29">
        <v>19.96</v>
      </c>
      <c r="U29">
        <v>19.98</v>
      </c>
      <c r="V29" s="84">
        <v>20</v>
      </c>
      <c r="W29">
        <v>20.03</v>
      </c>
      <c r="X29" s="84">
        <v>20.059999999999999</v>
      </c>
      <c r="Y29">
        <v>20.09</v>
      </c>
      <c r="Z29" s="84">
        <v>20.12</v>
      </c>
      <c r="AA29">
        <v>20.149999999999999</v>
      </c>
      <c r="AB29" s="84">
        <v>20.18</v>
      </c>
      <c r="AC29">
        <v>20.21</v>
      </c>
      <c r="AD29" s="84">
        <v>20.239999999999998</v>
      </c>
      <c r="AE29">
        <v>20.27</v>
      </c>
      <c r="AF29">
        <v>20.3</v>
      </c>
      <c r="AG29">
        <v>20.32</v>
      </c>
      <c r="AH29">
        <v>20.34</v>
      </c>
      <c r="AI29">
        <v>20.36</v>
      </c>
      <c r="AJ29">
        <v>20.38</v>
      </c>
      <c r="AK29" t="s">
        <v>269</v>
      </c>
      <c r="AL29" t="s">
        <v>269</v>
      </c>
      <c r="AM29" t="s">
        <v>269</v>
      </c>
      <c r="AN29" t="s">
        <v>269</v>
      </c>
      <c r="AO29" t="s">
        <v>270</v>
      </c>
      <c r="AP29" t="s">
        <v>270</v>
      </c>
      <c r="AQ29" t="s">
        <v>270</v>
      </c>
      <c r="AR29" t="s">
        <v>270</v>
      </c>
      <c r="AS29" t="s">
        <v>270</v>
      </c>
      <c r="AT29" t="s">
        <v>270</v>
      </c>
      <c r="AU29" t="s">
        <v>270</v>
      </c>
      <c r="AV29" t="s">
        <v>270</v>
      </c>
      <c r="AW29" t="s">
        <v>270</v>
      </c>
      <c r="AX29" t="s">
        <v>270</v>
      </c>
      <c r="AY29" t="s">
        <v>270</v>
      </c>
      <c r="AZ29" t="s">
        <v>270</v>
      </c>
      <c r="BA29" t="s">
        <v>270</v>
      </c>
      <c r="BB29" t="s">
        <v>270</v>
      </c>
      <c r="BC29" t="s">
        <v>270</v>
      </c>
      <c r="BD29" t="s">
        <v>270</v>
      </c>
      <c r="BE29" t="s">
        <v>270</v>
      </c>
      <c r="BF29" t="s">
        <v>270</v>
      </c>
      <c r="BG29" t="s">
        <v>270</v>
      </c>
      <c r="BH29" t="s">
        <v>270</v>
      </c>
      <c r="BI29" t="s">
        <v>270</v>
      </c>
      <c r="BJ29" s="6" t="s">
        <v>270</v>
      </c>
      <c r="BK29" s="672"/>
    </row>
    <row r="30" spans="1:63" x14ac:dyDescent="0.25">
      <c r="A30" s="11">
        <v>10500</v>
      </c>
      <c r="B30" s="5">
        <v>19.399999999999999</v>
      </c>
      <c r="C30">
        <v>19.43</v>
      </c>
      <c r="D30">
        <v>19.46</v>
      </c>
      <c r="E30">
        <v>19.489999999999998</v>
      </c>
      <c r="F30">
        <v>19.52</v>
      </c>
      <c r="G30">
        <v>19.55</v>
      </c>
      <c r="H30">
        <v>19.579999999999998</v>
      </c>
      <c r="I30">
        <v>19.61</v>
      </c>
      <c r="J30">
        <v>19.64</v>
      </c>
      <c r="K30">
        <v>19.670000000000002</v>
      </c>
      <c r="L30">
        <v>19.7</v>
      </c>
      <c r="M30">
        <v>19.72</v>
      </c>
      <c r="N30">
        <v>19.739999999999998</v>
      </c>
      <c r="O30">
        <v>19.760000000000002</v>
      </c>
      <c r="P30">
        <v>19.78</v>
      </c>
      <c r="Q30">
        <v>19.8</v>
      </c>
      <c r="R30">
        <v>19.82</v>
      </c>
      <c r="S30">
        <v>19.84</v>
      </c>
      <c r="T30">
        <v>19.86</v>
      </c>
      <c r="U30">
        <v>19.88</v>
      </c>
      <c r="V30" s="84">
        <v>19.899999999999999</v>
      </c>
      <c r="W30">
        <v>19.93</v>
      </c>
      <c r="X30">
        <v>19.96</v>
      </c>
      <c r="Y30">
        <v>19.989999999999998</v>
      </c>
      <c r="Z30">
        <v>20.02</v>
      </c>
      <c r="AA30">
        <v>20.05</v>
      </c>
      <c r="AB30">
        <v>20.079999999999998</v>
      </c>
      <c r="AC30">
        <v>20.11</v>
      </c>
      <c r="AD30">
        <v>20.14</v>
      </c>
      <c r="AE30">
        <v>20.170000000000002</v>
      </c>
      <c r="AF30">
        <v>20.2</v>
      </c>
      <c r="AG30">
        <v>20.22</v>
      </c>
      <c r="AH30" t="s">
        <v>269</v>
      </c>
      <c r="AI30" t="s">
        <v>269</v>
      </c>
      <c r="AJ30" t="s">
        <v>269</v>
      </c>
      <c r="AK30" t="s">
        <v>270</v>
      </c>
      <c r="AL30" t="s">
        <v>270</v>
      </c>
      <c r="AM30" t="s">
        <v>270</v>
      </c>
      <c r="AN30" t="s">
        <v>270</v>
      </c>
      <c r="AO30" t="s">
        <v>270</v>
      </c>
      <c r="AP30" t="s">
        <v>270</v>
      </c>
      <c r="AQ30" t="s">
        <v>270</v>
      </c>
      <c r="AR30" t="s">
        <v>270</v>
      </c>
      <c r="AS30" t="s">
        <v>270</v>
      </c>
      <c r="AT30" t="s">
        <v>270</v>
      </c>
      <c r="AU30" t="s">
        <v>270</v>
      </c>
      <c r="AV30" t="s">
        <v>270</v>
      </c>
      <c r="AW30" t="s">
        <v>270</v>
      </c>
      <c r="AX30" t="s">
        <v>270</v>
      </c>
      <c r="AY30" t="s">
        <v>270</v>
      </c>
      <c r="AZ30" t="s">
        <v>270</v>
      </c>
      <c r="BA30" t="s">
        <v>270</v>
      </c>
      <c r="BB30" t="s">
        <v>270</v>
      </c>
      <c r="BC30" t="s">
        <v>270</v>
      </c>
      <c r="BD30" t="s">
        <v>270</v>
      </c>
      <c r="BE30" t="s">
        <v>270</v>
      </c>
      <c r="BF30" t="s">
        <v>270</v>
      </c>
      <c r="BG30" t="s">
        <v>270</v>
      </c>
      <c r="BH30" t="s">
        <v>270</v>
      </c>
      <c r="BI30" t="s">
        <v>270</v>
      </c>
      <c r="BJ30" s="6" t="s">
        <v>270</v>
      </c>
      <c r="BK30" s="672"/>
    </row>
    <row r="31" spans="1:63" x14ac:dyDescent="0.25">
      <c r="A31" s="11">
        <v>11000</v>
      </c>
      <c r="B31" s="5">
        <v>19.3</v>
      </c>
      <c r="C31">
        <v>19.329999999999998</v>
      </c>
      <c r="D31">
        <v>19.36</v>
      </c>
      <c r="E31">
        <v>19.39</v>
      </c>
      <c r="F31">
        <v>19.420000000000002</v>
      </c>
      <c r="G31">
        <v>19.45</v>
      </c>
      <c r="H31">
        <v>19.48</v>
      </c>
      <c r="I31">
        <v>19.510000000000002</v>
      </c>
      <c r="J31">
        <v>19.54</v>
      </c>
      <c r="K31">
        <v>19.57</v>
      </c>
      <c r="L31">
        <v>19.600000000000001</v>
      </c>
      <c r="M31">
        <v>19.62</v>
      </c>
      <c r="N31">
        <v>19.64</v>
      </c>
      <c r="O31">
        <v>19.66</v>
      </c>
      <c r="P31">
        <v>19.68</v>
      </c>
      <c r="Q31">
        <v>19.7</v>
      </c>
      <c r="R31">
        <v>19.72</v>
      </c>
      <c r="S31">
        <v>19.739999999999998</v>
      </c>
      <c r="T31">
        <v>19.760000000000002</v>
      </c>
      <c r="U31">
        <v>19.78</v>
      </c>
      <c r="V31" s="84">
        <v>19.8</v>
      </c>
      <c r="W31">
        <v>19.829999999999998</v>
      </c>
      <c r="X31" s="84">
        <v>19.86</v>
      </c>
      <c r="Y31">
        <v>19.89</v>
      </c>
      <c r="Z31" s="84">
        <v>19.920000000000002</v>
      </c>
      <c r="AA31">
        <v>19.95</v>
      </c>
      <c r="AB31" s="84">
        <v>19.98</v>
      </c>
      <c r="AC31">
        <v>20.010000000000002</v>
      </c>
      <c r="AD31" t="s">
        <v>269</v>
      </c>
      <c r="AE31" t="s">
        <v>269</v>
      </c>
      <c r="AF31" t="s">
        <v>269</v>
      </c>
      <c r="AG31" t="s">
        <v>269</v>
      </c>
      <c r="AH31" t="s">
        <v>270</v>
      </c>
      <c r="AI31" t="s">
        <v>270</v>
      </c>
      <c r="AJ31" t="s">
        <v>270</v>
      </c>
      <c r="AK31" t="s">
        <v>270</v>
      </c>
      <c r="AL31" t="s">
        <v>270</v>
      </c>
      <c r="AM31" t="s">
        <v>270</v>
      </c>
      <c r="AN31" t="s">
        <v>270</v>
      </c>
      <c r="AO31" t="s">
        <v>270</v>
      </c>
      <c r="AP31" t="s">
        <v>270</v>
      </c>
      <c r="AQ31" t="s">
        <v>270</v>
      </c>
      <c r="AR31" t="s">
        <v>270</v>
      </c>
      <c r="AS31" t="s">
        <v>270</v>
      </c>
      <c r="AT31" t="s">
        <v>270</v>
      </c>
      <c r="AU31" t="s">
        <v>270</v>
      </c>
      <c r="AV31" t="s">
        <v>270</v>
      </c>
      <c r="AW31" t="s">
        <v>270</v>
      </c>
      <c r="AX31" t="s">
        <v>270</v>
      </c>
      <c r="AY31" t="s">
        <v>270</v>
      </c>
      <c r="AZ31" t="s">
        <v>270</v>
      </c>
      <c r="BA31" t="s">
        <v>270</v>
      </c>
      <c r="BB31" t="s">
        <v>270</v>
      </c>
      <c r="BC31" t="s">
        <v>270</v>
      </c>
      <c r="BD31" t="s">
        <v>270</v>
      </c>
      <c r="BE31" t="s">
        <v>270</v>
      </c>
      <c r="BF31" t="s">
        <v>270</v>
      </c>
      <c r="BG31" t="s">
        <v>270</v>
      </c>
      <c r="BH31" t="s">
        <v>270</v>
      </c>
      <c r="BI31" t="s">
        <v>270</v>
      </c>
      <c r="BJ31" s="6" t="s">
        <v>270</v>
      </c>
      <c r="BK31" s="672"/>
    </row>
    <row r="32" spans="1:63" x14ac:dyDescent="0.25">
      <c r="A32" s="11">
        <v>11500</v>
      </c>
      <c r="B32" s="5">
        <v>19.2</v>
      </c>
      <c r="C32">
        <v>19.23</v>
      </c>
      <c r="D32">
        <v>19.260000000000002</v>
      </c>
      <c r="E32">
        <v>19.29</v>
      </c>
      <c r="F32">
        <v>19.32</v>
      </c>
      <c r="G32">
        <v>19.350000000000001</v>
      </c>
      <c r="H32">
        <v>19.38</v>
      </c>
      <c r="I32">
        <v>19.41</v>
      </c>
      <c r="J32">
        <v>19.440000000000001</v>
      </c>
      <c r="K32">
        <v>19.47</v>
      </c>
      <c r="L32">
        <v>19.5</v>
      </c>
      <c r="M32">
        <v>19.52</v>
      </c>
      <c r="N32">
        <v>19.54</v>
      </c>
      <c r="O32">
        <v>19.559999999999999</v>
      </c>
      <c r="P32">
        <v>19.579999999999998</v>
      </c>
      <c r="Q32">
        <v>19.600000000000001</v>
      </c>
      <c r="R32">
        <v>19.62</v>
      </c>
      <c r="S32">
        <v>19.64</v>
      </c>
      <c r="T32">
        <v>19.66</v>
      </c>
      <c r="U32">
        <v>19.68</v>
      </c>
      <c r="V32" s="84">
        <v>19.7</v>
      </c>
      <c r="W32">
        <v>19.73</v>
      </c>
      <c r="X32">
        <v>19.760000000000002</v>
      </c>
      <c r="Y32">
        <v>19.79</v>
      </c>
      <c r="Z32">
        <v>19.82</v>
      </c>
      <c r="AA32" t="s">
        <v>269</v>
      </c>
      <c r="AB32" t="s">
        <v>269</v>
      </c>
      <c r="AC32" t="s">
        <v>269</v>
      </c>
      <c r="AD32" t="s">
        <v>270</v>
      </c>
      <c r="AE32" t="s">
        <v>270</v>
      </c>
      <c r="AF32" t="s">
        <v>270</v>
      </c>
      <c r="AG32" t="s">
        <v>270</v>
      </c>
      <c r="AH32" t="s">
        <v>270</v>
      </c>
      <c r="AI32" t="s">
        <v>270</v>
      </c>
      <c r="AJ32" t="s">
        <v>270</v>
      </c>
      <c r="AK32" t="s">
        <v>270</v>
      </c>
      <c r="AL32" t="s">
        <v>270</v>
      </c>
      <c r="AM32" t="s">
        <v>270</v>
      </c>
      <c r="AN32" t="s">
        <v>270</v>
      </c>
      <c r="AO32" t="s">
        <v>270</v>
      </c>
      <c r="AP32" t="s">
        <v>270</v>
      </c>
      <c r="AQ32" t="s">
        <v>270</v>
      </c>
      <c r="AR32" t="s">
        <v>270</v>
      </c>
      <c r="AS32" t="s">
        <v>270</v>
      </c>
      <c r="AT32" t="s">
        <v>270</v>
      </c>
      <c r="AU32" t="s">
        <v>270</v>
      </c>
      <c r="AV32" t="s">
        <v>270</v>
      </c>
      <c r="AW32" t="s">
        <v>270</v>
      </c>
      <c r="AX32" t="s">
        <v>270</v>
      </c>
      <c r="AY32" t="s">
        <v>270</v>
      </c>
      <c r="AZ32" t="s">
        <v>270</v>
      </c>
      <c r="BA32" t="s">
        <v>270</v>
      </c>
      <c r="BB32" t="s">
        <v>270</v>
      </c>
      <c r="BC32" t="s">
        <v>270</v>
      </c>
      <c r="BD32" t="s">
        <v>270</v>
      </c>
      <c r="BE32" t="s">
        <v>270</v>
      </c>
      <c r="BF32" t="s">
        <v>270</v>
      </c>
      <c r="BG32" t="s">
        <v>270</v>
      </c>
      <c r="BH32" t="s">
        <v>270</v>
      </c>
      <c r="BI32" t="s">
        <v>270</v>
      </c>
      <c r="BJ32" s="6" t="s">
        <v>270</v>
      </c>
      <c r="BK32" s="672"/>
    </row>
    <row r="33" spans="1:63" x14ac:dyDescent="0.25">
      <c r="A33" s="11">
        <v>12000</v>
      </c>
      <c r="B33" s="5">
        <v>19.100000000000001</v>
      </c>
      <c r="C33">
        <v>19.13</v>
      </c>
      <c r="D33">
        <v>19.16</v>
      </c>
      <c r="E33">
        <v>19.190000000000001</v>
      </c>
      <c r="F33">
        <v>19.22</v>
      </c>
      <c r="G33">
        <v>19.25</v>
      </c>
      <c r="H33">
        <v>19.28</v>
      </c>
      <c r="I33">
        <v>19.309999999999999</v>
      </c>
      <c r="J33">
        <v>19.34</v>
      </c>
      <c r="K33">
        <v>19.37</v>
      </c>
      <c r="L33">
        <v>19.399999999999999</v>
      </c>
      <c r="M33">
        <v>19.420000000000002</v>
      </c>
      <c r="N33">
        <v>19.440000000000001</v>
      </c>
      <c r="O33">
        <v>19.46</v>
      </c>
      <c r="P33">
        <v>19.48</v>
      </c>
      <c r="Q33">
        <v>19.5</v>
      </c>
      <c r="R33">
        <v>19.52</v>
      </c>
      <c r="S33">
        <v>19.54</v>
      </c>
      <c r="T33">
        <v>19.559999999999999</v>
      </c>
      <c r="U33">
        <v>19.579999999999998</v>
      </c>
      <c r="V33" s="84">
        <v>19.600000000000001</v>
      </c>
      <c r="W33" t="s">
        <v>269</v>
      </c>
      <c r="X33" t="s">
        <v>269</v>
      </c>
      <c r="Y33" t="s">
        <v>269</v>
      </c>
      <c r="Z33" t="s">
        <v>269</v>
      </c>
      <c r="AA33" t="s">
        <v>270</v>
      </c>
      <c r="AB33" t="s">
        <v>270</v>
      </c>
      <c r="AC33" t="s">
        <v>270</v>
      </c>
      <c r="AD33" t="s">
        <v>270</v>
      </c>
      <c r="AE33" t="s">
        <v>270</v>
      </c>
      <c r="AF33" t="s">
        <v>270</v>
      </c>
      <c r="AG33" t="s">
        <v>270</v>
      </c>
      <c r="AH33" t="s">
        <v>270</v>
      </c>
      <c r="AI33" t="s">
        <v>270</v>
      </c>
      <c r="AJ33" t="s">
        <v>270</v>
      </c>
      <c r="AK33" t="s">
        <v>270</v>
      </c>
      <c r="AL33" t="s">
        <v>270</v>
      </c>
      <c r="AM33" t="s">
        <v>270</v>
      </c>
      <c r="AN33" t="s">
        <v>270</v>
      </c>
      <c r="AO33" t="s">
        <v>270</v>
      </c>
      <c r="AP33" t="s">
        <v>270</v>
      </c>
      <c r="AQ33" t="s">
        <v>270</v>
      </c>
      <c r="AR33" t="s">
        <v>270</v>
      </c>
      <c r="AS33" t="s">
        <v>270</v>
      </c>
      <c r="AT33" t="s">
        <v>270</v>
      </c>
      <c r="AU33" t="s">
        <v>270</v>
      </c>
      <c r="AV33" t="s">
        <v>270</v>
      </c>
      <c r="AW33" t="s">
        <v>270</v>
      </c>
      <c r="AX33" t="s">
        <v>270</v>
      </c>
      <c r="AY33" t="s">
        <v>270</v>
      </c>
      <c r="AZ33" t="s">
        <v>270</v>
      </c>
      <c r="BA33" t="s">
        <v>270</v>
      </c>
      <c r="BB33" t="s">
        <v>270</v>
      </c>
      <c r="BC33" t="s">
        <v>270</v>
      </c>
      <c r="BD33" t="s">
        <v>270</v>
      </c>
      <c r="BE33" t="s">
        <v>270</v>
      </c>
      <c r="BF33" t="s">
        <v>270</v>
      </c>
      <c r="BG33" t="s">
        <v>270</v>
      </c>
      <c r="BH33" t="s">
        <v>270</v>
      </c>
      <c r="BI33" t="s">
        <v>270</v>
      </c>
      <c r="BJ33" s="6" t="s">
        <v>270</v>
      </c>
      <c r="BK33" s="672"/>
    </row>
    <row r="34" spans="1:63" x14ac:dyDescent="0.25">
      <c r="A34" s="11">
        <v>12500</v>
      </c>
      <c r="B34" s="5">
        <v>19</v>
      </c>
      <c r="C34">
        <v>19.03</v>
      </c>
      <c r="D34">
        <v>19.059999999999999</v>
      </c>
      <c r="E34">
        <v>19.09</v>
      </c>
      <c r="F34">
        <v>19.12</v>
      </c>
      <c r="G34">
        <v>19.149999999999999</v>
      </c>
      <c r="H34">
        <v>19.18</v>
      </c>
      <c r="I34">
        <v>19.21</v>
      </c>
      <c r="J34">
        <v>19.239999999999998</v>
      </c>
      <c r="K34">
        <v>19.27</v>
      </c>
      <c r="L34">
        <v>19.3</v>
      </c>
      <c r="M34">
        <v>19.32</v>
      </c>
      <c r="N34">
        <v>19.34</v>
      </c>
      <c r="O34">
        <v>19.36</v>
      </c>
      <c r="P34">
        <v>19.38</v>
      </c>
      <c r="Q34">
        <v>19.399999999999999</v>
      </c>
      <c r="R34">
        <v>19.420000000000002</v>
      </c>
      <c r="S34">
        <v>19.440000000000001</v>
      </c>
      <c r="T34" t="s">
        <v>269</v>
      </c>
      <c r="U34" t="s">
        <v>269</v>
      </c>
      <c r="V34" t="s">
        <v>269</v>
      </c>
      <c r="W34" t="s">
        <v>270</v>
      </c>
      <c r="X34" t="s">
        <v>270</v>
      </c>
      <c r="Y34" t="s">
        <v>270</v>
      </c>
      <c r="Z34" t="s">
        <v>270</v>
      </c>
      <c r="AA34" t="s">
        <v>270</v>
      </c>
      <c r="AB34" t="s">
        <v>270</v>
      </c>
      <c r="AC34" t="s">
        <v>270</v>
      </c>
      <c r="AD34" t="s">
        <v>270</v>
      </c>
      <c r="AE34" t="s">
        <v>270</v>
      </c>
      <c r="AF34" t="s">
        <v>270</v>
      </c>
      <c r="AG34" t="s">
        <v>270</v>
      </c>
      <c r="AH34" t="s">
        <v>270</v>
      </c>
      <c r="AI34" t="s">
        <v>270</v>
      </c>
      <c r="AJ34" t="s">
        <v>270</v>
      </c>
      <c r="AK34" t="s">
        <v>270</v>
      </c>
      <c r="AL34" t="s">
        <v>270</v>
      </c>
      <c r="AM34" t="s">
        <v>270</v>
      </c>
      <c r="AN34" t="s">
        <v>270</v>
      </c>
      <c r="AO34" t="s">
        <v>270</v>
      </c>
      <c r="AP34" t="s">
        <v>270</v>
      </c>
      <c r="AQ34" t="s">
        <v>270</v>
      </c>
      <c r="AR34" t="s">
        <v>270</v>
      </c>
      <c r="AS34" t="s">
        <v>270</v>
      </c>
      <c r="AT34" t="s">
        <v>270</v>
      </c>
      <c r="AU34" t="s">
        <v>270</v>
      </c>
      <c r="AV34" t="s">
        <v>270</v>
      </c>
      <c r="AW34" t="s">
        <v>270</v>
      </c>
      <c r="AX34" t="s">
        <v>270</v>
      </c>
      <c r="AY34" t="s">
        <v>270</v>
      </c>
      <c r="AZ34" t="s">
        <v>270</v>
      </c>
      <c r="BA34" t="s">
        <v>270</v>
      </c>
      <c r="BB34" t="s">
        <v>270</v>
      </c>
      <c r="BC34" t="s">
        <v>270</v>
      </c>
      <c r="BD34" t="s">
        <v>270</v>
      </c>
      <c r="BE34" t="s">
        <v>270</v>
      </c>
      <c r="BF34" t="s">
        <v>270</v>
      </c>
      <c r="BG34" t="s">
        <v>270</v>
      </c>
      <c r="BH34" t="s">
        <v>270</v>
      </c>
      <c r="BI34" t="s">
        <v>270</v>
      </c>
      <c r="BJ34" s="6" t="s">
        <v>270</v>
      </c>
      <c r="BK34" s="672"/>
    </row>
    <row r="35" spans="1:63" x14ac:dyDescent="0.25">
      <c r="A35" s="11">
        <v>13000</v>
      </c>
      <c r="B35" s="5">
        <v>18.899999999999999</v>
      </c>
      <c r="C35">
        <v>18.93</v>
      </c>
      <c r="D35">
        <v>18.96</v>
      </c>
      <c r="E35">
        <v>18.989999999999998</v>
      </c>
      <c r="F35">
        <v>19.02</v>
      </c>
      <c r="G35">
        <v>19.05</v>
      </c>
      <c r="H35">
        <v>19.079999999999998</v>
      </c>
      <c r="I35">
        <v>19.11</v>
      </c>
      <c r="J35">
        <v>19.14</v>
      </c>
      <c r="K35">
        <v>19.170000000000002</v>
      </c>
      <c r="L35">
        <v>19.2</v>
      </c>
      <c r="M35">
        <v>19.22</v>
      </c>
      <c r="N35">
        <v>19.239999999999998</v>
      </c>
      <c r="O35">
        <v>19.260000000000002</v>
      </c>
      <c r="P35" t="s">
        <v>269</v>
      </c>
      <c r="Q35" t="s">
        <v>269</v>
      </c>
      <c r="R35" t="s">
        <v>269</v>
      </c>
      <c r="S35" t="s">
        <v>269</v>
      </c>
      <c r="T35" t="s">
        <v>270</v>
      </c>
      <c r="U35" t="s">
        <v>270</v>
      </c>
      <c r="V35" t="s">
        <v>270</v>
      </c>
      <c r="W35" t="s">
        <v>270</v>
      </c>
      <c r="X35" t="s">
        <v>270</v>
      </c>
      <c r="Y35" t="s">
        <v>270</v>
      </c>
      <c r="Z35" t="s">
        <v>270</v>
      </c>
      <c r="AA35" t="s">
        <v>270</v>
      </c>
      <c r="AB35" t="s">
        <v>270</v>
      </c>
      <c r="AC35" t="s">
        <v>270</v>
      </c>
      <c r="AD35" t="s">
        <v>270</v>
      </c>
      <c r="AE35" t="s">
        <v>270</v>
      </c>
      <c r="AF35" t="s">
        <v>270</v>
      </c>
      <c r="AG35" t="s">
        <v>270</v>
      </c>
      <c r="AH35" t="s">
        <v>270</v>
      </c>
      <c r="AI35" t="s">
        <v>270</v>
      </c>
      <c r="AJ35" t="s">
        <v>270</v>
      </c>
      <c r="AK35" t="s">
        <v>270</v>
      </c>
      <c r="AL35" t="s">
        <v>270</v>
      </c>
      <c r="AM35" t="s">
        <v>270</v>
      </c>
      <c r="AN35" t="s">
        <v>270</v>
      </c>
      <c r="AO35" t="s">
        <v>270</v>
      </c>
      <c r="AP35" t="s">
        <v>270</v>
      </c>
      <c r="AQ35" t="s">
        <v>270</v>
      </c>
      <c r="AR35" t="s">
        <v>270</v>
      </c>
      <c r="AS35" t="s">
        <v>270</v>
      </c>
      <c r="AT35" t="s">
        <v>270</v>
      </c>
      <c r="AU35" t="s">
        <v>270</v>
      </c>
      <c r="AV35" t="s">
        <v>270</v>
      </c>
      <c r="AW35" t="s">
        <v>270</v>
      </c>
      <c r="AX35" t="s">
        <v>270</v>
      </c>
      <c r="AY35" t="s">
        <v>270</v>
      </c>
      <c r="AZ35" t="s">
        <v>270</v>
      </c>
      <c r="BA35" t="s">
        <v>270</v>
      </c>
      <c r="BB35" t="s">
        <v>270</v>
      </c>
      <c r="BC35" t="s">
        <v>270</v>
      </c>
      <c r="BD35" t="s">
        <v>270</v>
      </c>
      <c r="BE35" t="s">
        <v>270</v>
      </c>
      <c r="BF35" t="s">
        <v>270</v>
      </c>
      <c r="BG35" t="s">
        <v>270</v>
      </c>
      <c r="BH35" t="s">
        <v>270</v>
      </c>
      <c r="BI35" t="s">
        <v>270</v>
      </c>
      <c r="BJ35" s="6" t="s">
        <v>270</v>
      </c>
      <c r="BK35" s="672"/>
    </row>
    <row r="36" spans="1:63" x14ac:dyDescent="0.25">
      <c r="A36" s="11">
        <v>13500</v>
      </c>
      <c r="B36" s="5">
        <v>18.8</v>
      </c>
      <c r="C36">
        <v>18.829999999999998</v>
      </c>
      <c r="D36">
        <v>18.86</v>
      </c>
      <c r="E36">
        <v>18.89</v>
      </c>
      <c r="F36">
        <v>18.920000000000002</v>
      </c>
      <c r="G36">
        <v>18.95</v>
      </c>
      <c r="H36">
        <v>18.98</v>
      </c>
      <c r="I36">
        <v>19.010000000000002</v>
      </c>
      <c r="J36">
        <v>19.04</v>
      </c>
      <c r="K36">
        <v>19.07</v>
      </c>
      <c r="L36">
        <v>19.100000000000001</v>
      </c>
      <c r="M36" t="s">
        <v>269</v>
      </c>
      <c r="N36" t="s">
        <v>269</v>
      </c>
      <c r="O36" t="s">
        <v>269</v>
      </c>
      <c r="P36" t="s">
        <v>270</v>
      </c>
      <c r="Q36" t="s">
        <v>270</v>
      </c>
      <c r="R36" t="s">
        <v>270</v>
      </c>
      <c r="S36" t="s">
        <v>270</v>
      </c>
      <c r="T36" t="s">
        <v>270</v>
      </c>
      <c r="U36" t="s">
        <v>270</v>
      </c>
      <c r="V36" t="s">
        <v>270</v>
      </c>
      <c r="W36" t="s">
        <v>270</v>
      </c>
      <c r="X36" t="s">
        <v>270</v>
      </c>
      <c r="Y36" t="s">
        <v>270</v>
      </c>
      <c r="Z36" t="s">
        <v>270</v>
      </c>
      <c r="AA36" t="s">
        <v>270</v>
      </c>
      <c r="AB36" t="s">
        <v>270</v>
      </c>
      <c r="AC36" t="s">
        <v>270</v>
      </c>
      <c r="AD36" t="s">
        <v>270</v>
      </c>
      <c r="AE36" t="s">
        <v>270</v>
      </c>
      <c r="AF36" t="s">
        <v>270</v>
      </c>
      <c r="AG36" t="s">
        <v>270</v>
      </c>
      <c r="AH36" t="s">
        <v>270</v>
      </c>
      <c r="AI36" t="s">
        <v>270</v>
      </c>
      <c r="AJ36" t="s">
        <v>270</v>
      </c>
      <c r="AK36" t="s">
        <v>270</v>
      </c>
      <c r="AL36" t="s">
        <v>270</v>
      </c>
      <c r="AM36" t="s">
        <v>270</v>
      </c>
      <c r="AN36" t="s">
        <v>270</v>
      </c>
      <c r="AO36" t="s">
        <v>270</v>
      </c>
      <c r="AP36" t="s">
        <v>270</v>
      </c>
      <c r="AQ36" t="s">
        <v>270</v>
      </c>
      <c r="AR36" t="s">
        <v>270</v>
      </c>
      <c r="AS36" t="s">
        <v>270</v>
      </c>
      <c r="AT36" t="s">
        <v>270</v>
      </c>
      <c r="AU36" t="s">
        <v>270</v>
      </c>
      <c r="AV36" t="s">
        <v>270</v>
      </c>
      <c r="AW36" t="s">
        <v>270</v>
      </c>
      <c r="AX36" t="s">
        <v>270</v>
      </c>
      <c r="AY36" t="s">
        <v>270</v>
      </c>
      <c r="AZ36" t="s">
        <v>270</v>
      </c>
      <c r="BA36" t="s">
        <v>270</v>
      </c>
      <c r="BB36" t="s">
        <v>270</v>
      </c>
      <c r="BC36" t="s">
        <v>270</v>
      </c>
      <c r="BD36" t="s">
        <v>270</v>
      </c>
      <c r="BE36" t="s">
        <v>270</v>
      </c>
      <c r="BF36" t="s">
        <v>270</v>
      </c>
      <c r="BG36" t="s">
        <v>270</v>
      </c>
      <c r="BH36" t="s">
        <v>270</v>
      </c>
      <c r="BI36" t="s">
        <v>270</v>
      </c>
      <c r="BJ36" s="6" t="s">
        <v>270</v>
      </c>
      <c r="BK36" s="672"/>
    </row>
    <row r="37" spans="1:63" x14ac:dyDescent="0.25">
      <c r="A37" s="11">
        <v>14000</v>
      </c>
      <c r="B37" s="5">
        <v>18.7</v>
      </c>
      <c r="C37">
        <v>18.73</v>
      </c>
      <c r="D37">
        <v>18.760000000000002</v>
      </c>
      <c r="E37">
        <v>18.79</v>
      </c>
      <c r="F37">
        <v>18.82</v>
      </c>
      <c r="G37">
        <v>18.850000000000001</v>
      </c>
      <c r="H37">
        <v>18.88</v>
      </c>
      <c r="I37" t="s">
        <v>269</v>
      </c>
      <c r="J37" t="s">
        <v>269</v>
      </c>
      <c r="K37" t="s">
        <v>269</v>
      </c>
      <c r="L37" t="s">
        <v>269</v>
      </c>
      <c r="M37" t="s">
        <v>270</v>
      </c>
      <c r="N37" t="s">
        <v>270</v>
      </c>
      <c r="O37" t="s">
        <v>270</v>
      </c>
      <c r="P37" t="s">
        <v>270</v>
      </c>
      <c r="Q37" t="s">
        <v>270</v>
      </c>
      <c r="R37" t="s">
        <v>270</v>
      </c>
      <c r="S37" t="s">
        <v>270</v>
      </c>
      <c r="T37" t="s">
        <v>270</v>
      </c>
      <c r="U37" t="s">
        <v>270</v>
      </c>
      <c r="V37" t="s">
        <v>270</v>
      </c>
      <c r="W37" t="s">
        <v>270</v>
      </c>
      <c r="X37" t="s">
        <v>270</v>
      </c>
      <c r="Y37" t="s">
        <v>270</v>
      </c>
      <c r="Z37" t="s">
        <v>270</v>
      </c>
      <c r="AA37" t="s">
        <v>270</v>
      </c>
      <c r="AB37" t="s">
        <v>270</v>
      </c>
      <c r="AC37" t="s">
        <v>270</v>
      </c>
      <c r="AD37" t="s">
        <v>270</v>
      </c>
      <c r="AE37" t="s">
        <v>270</v>
      </c>
      <c r="AF37" t="s">
        <v>270</v>
      </c>
      <c r="AG37" t="s">
        <v>270</v>
      </c>
      <c r="AH37" t="s">
        <v>270</v>
      </c>
      <c r="AI37" t="s">
        <v>270</v>
      </c>
      <c r="AJ37" t="s">
        <v>270</v>
      </c>
      <c r="AK37" t="s">
        <v>270</v>
      </c>
      <c r="AL37" t="s">
        <v>270</v>
      </c>
      <c r="AM37" t="s">
        <v>270</v>
      </c>
      <c r="AN37" t="s">
        <v>270</v>
      </c>
      <c r="AO37" t="s">
        <v>270</v>
      </c>
      <c r="AP37" t="s">
        <v>270</v>
      </c>
      <c r="AQ37" t="s">
        <v>270</v>
      </c>
      <c r="AR37" t="s">
        <v>270</v>
      </c>
      <c r="AS37" t="s">
        <v>270</v>
      </c>
      <c r="AT37" t="s">
        <v>270</v>
      </c>
      <c r="AU37" t="s">
        <v>270</v>
      </c>
      <c r="AV37" t="s">
        <v>270</v>
      </c>
      <c r="AW37" t="s">
        <v>270</v>
      </c>
      <c r="AX37" t="s">
        <v>270</v>
      </c>
      <c r="AY37" t="s">
        <v>270</v>
      </c>
      <c r="AZ37" t="s">
        <v>270</v>
      </c>
      <c r="BA37" t="s">
        <v>270</v>
      </c>
      <c r="BB37" t="s">
        <v>270</v>
      </c>
      <c r="BC37" t="s">
        <v>270</v>
      </c>
      <c r="BD37" t="s">
        <v>270</v>
      </c>
      <c r="BE37" t="s">
        <v>270</v>
      </c>
      <c r="BF37" t="s">
        <v>270</v>
      </c>
      <c r="BG37" t="s">
        <v>270</v>
      </c>
      <c r="BH37" t="s">
        <v>270</v>
      </c>
      <c r="BI37" t="s">
        <v>270</v>
      </c>
      <c r="BJ37" s="6" t="s">
        <v>270</v>
      </c>
      <c r="BK37" s="672"/>
    </row>
    <row r="38" spans="1:63" x14ac:dyDescent="0.25">
      <c r="A38" s="11">
        <v>14500</v>
      </c>
      <c r="B38" s="5">
        <v>18.600000000000001</v>
      </c>
      <c r="C38">
        <v>18.63</v>
      </c>
      <c r="D38">
        <v>18.66</v>
      </c>
      <c r="E38">
        <v>18.690000000000001</v>
      </c>
      <c r="F38" t="s">
        <v>269</v>
      </c>
      <c r="G38" t="s">
        <v>269</v>
      </c>
      <c r="H38" t="s">
        <v>269</v>
      </c>
      <c r="I38" t="s">
        <v>270</v>
      </c>
      <c r="J38" t="s">
        <v>270</v>
      </c>
      <c r="K38" t="s">
        <v>270</v>
      </c>
      <c r="L38" t="s">
        <v>270</v>
      </c>
      <c r="M38" t="s">
        <v>270</v>
      </c>
      <c r="N38" t="s">
        <v>270</v>
      </c>
      <c r="O38" t="s">
        <v>270</v>
      </c>
      <c r="P38" t="s">
        <v>270</v>
      </c>
      <c r="Q38" t="s">
        <v>270</v>
      </c>
      <c r="R38" t="s">
        <v>270</v>
      </c>
      <c r="S38" t="s">
        <v>270</v>
      </c>
      <c r="T38" t="s">
        <v>270</v>
      </c>
      <c r="U38" t="s">
        <v>270</v>
      </c>
      <c r="V38" t="s">
        <v>270</v>
      </c>
      <c r="W38" t="s">
        <v>270</v>
      </c>
      <c r="X38" t="s">
        <v>270</v>
      </c>
      <c r="Y38" t="s">
        <v>270</v>
      </c>
      <c r="Z38" t="s">
        <v>270</v>
      </c>
      <c r="AA38" t="s">
        <v>270</v>
      </c>
      <c r="AB38" t="s">
        <v>270</v>
      </c>
      <c r="AC38" t="s">
        <v>270</v>
      </c>
      <c r="AD38" t="s">
        <v>270</v>
      </c>
      <c r="AE38" t="s">
        <v>270</v>
      </c>
      <c r="AF38" t="s">
        <v>270</v>
      </c>
      <c r="AG38" t="s">
        <v>270</v>
      </c>
      <c r="AH38" t="s">
        <v>270</v>
      </c>
      <c r="AI38" t="s">
        <v>270</v>
      </c>
      <c r="AJ38" t="s">
        <v>270</v>
      </c>
      <c r="AK38" t="s">
        <v>270</v>
      </c>
      <c r="AL38" t="s">
        <v>270</v>
      </c>
      <c r="AM38" t="s">
        <v>270</v>
      </c>
      <c r="AN38" t="s">
        <v>270</v>
      </c>
      <c r="AO38" t="s">
        <v>270</v>
      </c>
      <c r="AP38" t="s">
        <v>270</v>
      </c>
      <c r="AQ38" t="s">
        <v>270</v>
      </c>
      <c r="AR38" t="s">
        <v>270</v>
      </c>
      <c r="AS38" t="s">
        <v>270</v>
      </c>
      <c r="AT38" t="s">
        <v>270</v>
      </c>
      <c r="AU38" t="s">
        <v>270</v>
      </c>
      <c r="AV38" t="s">
        <v>270</v>
      </c>
      <c r="AW38" t="s">
        <v>270</v>
      </c>
      <c r="AX38" t="s">
        <v>270</v>
      </c>
      <c r="AY38" t="s">
        <v>270</v>
      </c>
      <c r="AZ38" t="s">
        <v>270</v>
      </c>
      <c r="BA38" t="s">
        <v>270</v>
      </c>
      <c r="BB38" t="s">
        <v>270</v>
      </c>
      <c r="BC38" t="s">
        <v>270</v>
      </c>
      <c r="BD38" t="s">
        <v>270</v>
      </c>
      <c r="BE38" t="s">
        <v>270</v>
      </c>
      <c r="BF38" t="s">
        <v>270</v>
      </c>
      <c r="BG38" t="s">
        <v>270</v>
      </c>
      <c r="BH38" t="s">
        <v>270</v>
      </c>
      <c r="BI38" t="s">
        <v>270</v>
      </c>
      <c r="BJ38" s="6" t="s">
        <v>270</v>
      </c>
      <c r="BK38" s="672"/>
    </row>
    <row r="39" spans="1:63" x14ac:dyDescent="0.25">
      <c r="A39" s="12">
        <v>15000</v>
      </c>
      <c r="B39" s="10" t="s">
        <v>269</v>
      </c>
      <c r="C39" s="8" t="s">
        <v>269</v>
      </c>
      <c r="D39" s="8" t="s">
        <v>269</v>
      </c>
      <c r="E39" s="8" t="s">
        <v>269</v>
      </c>
      <c r="F39" s="8" t="s">
        <v>270</v>
      </c>
      <c r="G39" s="8" t="s">
        <v>270</v>
      </c>
      <c r="H39" s="8" t="s">
        <v>270</v>
      </c>
      <c r="I39" s="8" t="s">
        <v>270</v>
      </c>
      <c r="J39" s="8" t="s">
        <v>270</v>
      </c>
      <c r="K39" s="8" t="s">
        <v>270</v>
      </c>
      <c r="L39" s="8" t="s">
        <v>270</v>
      </c>
      <c r="M39" s="8" t="s">
        <v>270</v>
      </c>
      <c r="N39" s="8" t="s">
        <v>270</v>
      </c>
      <c r="O39" s="8" t="s">
        <v>270</v>
      </c>
      <c r="P39" s="8" t="s">
        <v>270</v>
      </c>
      <c r="Q39" s="8" t="s">
        <v>270</v>
      </c>
      <c r="R39" s="8" t="s">
        <v>270</v>
      </c>
      <c r="S39" s="8" t="s">
        <v>270</v>
      </c>
      <c r="T39" s="8" t="s">
        <v>270</v>
      </c>
      <c r="U39" s="8" t="s">
        <v>270</v>
      </c>
      <c r="V39" s="8" t="s">
        <v>270</v>
      </c>
      <c r="W39" s="8" t="s">
        <v>270</v>
      </c>
      <c r="X39" s="8" t="s">
        <v>270</v>
      </c>
      <c r="Y39" s="8" t="s">
        <v>270</v>
      </c>
      <c r="Z39" s="8" t="s">
        <v>270</v>
      </c>
      <c r="AA39" s="8" t="s">
        <v>270</v>
      </c>
      <c r="AB39" s="8" t="s">
        <v>270</v>
      </c>
      <c r="AC39" s="8" t="s">
        <v>270</v>
      </c>
      <c r="AD39" s="8" t="s">
        <v>270</v>
      </c>
      <c r="AE39" s="8" t="s">
        <v>270</v>
      </c>
      <c r="AF39" s="8" t="s">
        <v>270</v>
      </c>
      <c r="AG39" s="8" t="s">
        <v>270</v>
      </c>
      <c r="AH39" s="8" t="s">
        <v>270</v>
      </c>
      <c r="AI39" s="8" t="s">
        <v>270</v>
      </c>
      <c r="AJ39" s="8" t="s">
        <v>270</v>
      </c>
      <c r="AK39" s="8" t="s">
        <v>270</v>
      </c>
      <c r="AL39" s="8" t="s">
        <v>270</v>
      </c>
      <c r="AM39" s="8" t="s">
        <v>270</v>
      </c>
      <c r="AN39" s="8" t="s">
        <v>270</v>
      </c>
      <c r="AO39" s="8" t="s">
        <v>270</v>
      </c>
      <c r="AP39" s="8" t="s">
        <v>270</v>
      </c>
      <c r="AQ39" s="8" t="s">
        <v>270</v>
      </c>
      <c r="AR39" s="8" t="s">
        <v>270</v>
      </c>
      <c r="AS39" s="8" t="s">
        <v>270</v>
      </c>
      <c r="AT39" s="8" t="s">
        <v>270</v>
      </c>
      <c r="AU39" s="8" t="s">
        <v>270</v>
      </c>
      <c r="AV39" s="8" t="s">
        <v>270</v>
      </c>
      <c r="AW39" s="8" t="s">
        <v>270</v>
      </c>
      <c r="AX39" s="8" t="s">
        <v>270</v>
      </c>
      <c r="AY39" s="8" t="s">
        <v>270</v>
      </c>
      <c r="AZ39" s="8" t="s">
        <v>270</v>
      </c>
      <c r="BA39" s="8" t="s">
        <v>270</v>
      </c>
      <c r="BB39" s="8" t="s">
        <v>270</v>
      </c>
      <c r="BC39" s="8" t="s">
        <v>270</v>
      </c>
      <c r="BD39" s="8" t="s">
        <v>270</v>
      </c>
      <c r="BE39" s="8" t="s">
        <v>270</v>
      </c>
      <c r="BF39" s="8" t="s">
        <v>270</v>
      </c>
      <c r="BG39" s="8" t="s">
        <v>270</v>
      </c>
      <c r="BH39" s="8" t="s">
        <v>270</v>
      </c>
      <c r="BI39" s="8" t="s">
        <v>270</v>
      </c>
      <c r="BJ39" s="9" t="s">
        <v>270</v>
      </c>
      <c r="BK39" s="672"/>
    </row>
    <row r="40" spans="1:63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</row>
  </sheetData>
  <sheetProtection algorithmName="SHA-512" hashValue="phq2JoGEwyRc8d4oouOaGTUcAxkadsKLBujYvWIoAFDpwW1l3djVrT4kZWCEiL3H6uX65ihODi5q5ja1k9biHw==" saltValue="O6JuVviyeM2WSgqhHB5gWQ==" spinCount="100000" sheet="1" objects="1" scenarios="1" selectLockedCells="1" selectUnlockedCells="1"/>
  <mergeCells count="5">
    <mergeCell ref="B7:BJ7"/>
    <mergeCell ref="BK26:BK39"/>
    <mergeCell ref="BK7:BK25"/>
    <mergeCell ref="A3:C3"/>
    <mergeCell ref="G3:H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/>
  <dimension ref="A1:BM39"/>
  <sheetViews>
    <sheetView workbookViewId="0">
      <selection activeCell="I6" sqref="I6"/>
    </sheetView>
  </sheetViews>
  <sheetFormatPr baseColWidth="10" defaultColWidth="10.7109375" defaultRowHeight="15" x14ac:dyDescent="0.25"/>
  <sheetData>
    <row r="1" spans="1:63" x14ac:dyDescent="0.25">
      <c r="A1" t="s">
        <v>259</v>
      </c>
      <c r="D1">
        <f>IF('R22 beta II'!Q14&gt;0,(ROUND(2*(('R22 beta II'!Q12-('R22 beta II'!Q13-1013)*'Perfo HOGE'!S25)/1000),0)/2)*1000,(ROUND(2*(('R22 beta II'!Q12-('R22 beta II'!Q13-1013)*SpecData!E38)/1000),0)/2)*1000)</f>
        <v>1500</v>
      </c>
      <c r="E1" t="s">
        <v>25</v>
      </c>
      <c r="G1" t="s">
        <v>260</v>
      </c>
      <c r="I1">
        <f>'R22 beta II'!R9+22</f>
        <v>34</v>
      </c>
    </row>
    <row r="2" spans="1:63" x14ac:dyDescent="0.25">
      <c r="A2" t="s">
        <v>261</v>
      </c>
      <c r="D2">
        <f>(ROUND(2*('Perfo HOGE'!J23/1000),0)/2)*1000</f>
        <v>8500</v>
      </c>
      <c r="E2" t="s">
        <v>25</v>
      </c>
      <c r="G2" t="s">
        <v>260</v>
      </c>
      <c r="I2" s="70">
        <f>(15-ROUND('R22 beta II'!Q19/1000*2,0))+'R22 beta II'!R10+22</f>
        <v>20.164000000000001</v>
      </c>
    </row>
    <row r="3" spans="1:63" x14ac:dyDescent="0.25">
      <c r="A3" s="673" t="s">
        <v>262</v>
      </c>
      <c r="B3" s="673"/>
      <c r="C3" s="673"/>
      <c r="D3">
        <f>(ROUND(2*('Perfo HIGE'!I16/1000),0)/2)*1000</f>
        <v>12000</v>
      </c>
      <c r="E3" t="s">
        <v>25</v>
      </c>
      <c r="G3" s="673" t="s">
        <v>260</v>
      </c>
      <c r="H3" s="673"/>
      <c r="I3" s="70">
        <f>(15-ROUND('R22 beta II'!Q18/1000*2,0))+'R22 beta II'!R10+22</f>
        <v>13.164</v>
      </c>
    </row>
    <row r="4" spans="1:63" x14ac:dyDescent="0.25">
      <c r="A4" s="258" t="s">
        <v>272</v>
      </c>
      <c r="B4" s="258"/>
      <c r="C4" s="258"/>
      <c r="D4" s="259">
        <v>5000</v>
      </c>
      <c r="E4" s="259" t="s">
        <v>25</v>
      </c>
      <c r="F4" s="259"/>
      <c r="G4" s="258" t="s">
        <v>260</v>
      </c>
      <c r="H4" s="258"/>
      <c r="I4" s="260">
        <f>Power!I4</f>
        <v>27</v>
      </c>
    </row>
    <row r="5" spans="1:63" x14ac:dyDescent="0.25">
      <c r="A5" s="291" t="s">
        <v>273</v>
      </c>
      <c r="B5" s="291"/>
      <c r="C5" s="291"/>
      <c r="D5">
        <v>10000</v>
      </c>
      <c r="E5" t="s">
        <v>25</v>
      </c>
      <c r="G5" s="291" t="s">
        <v>260</v>
      </c>
      <c r="H5" s="291"/>
      <c r="I5" s="70">
        <f>Power!I5</f>
        <v>17</v>
      </c>
    </row>
    <row r="6" spans="1:63" x14ac:dyDescent="0.25">
      <c r="A6" s="291"/>
      <c r="B6" s="291"/>
      <c r="C6" s="291"/>
      <c r="G6" s="291"/>
      <c r="H6" s="291"/>
      <c r="I6" s="70"/>
    </row>
    <row r="7" spans="1:63" ht="15" customHeight="1" x14ac:dyDescent="0.25">
      <c r="A7" s="73" t="s">
        <v>274</v>
      </c>
      <c r="B7" s="669" t="s">
        <v>266</v>
      </c>
      <c r="C7" s="670"/>
      <c r="D7" s="670"/>
      <c r="E7" s="670"/>
      <c r="F7" s="670"/>
      <c r="G7" s="670"/>
      <c r="H7" s="670"/>
      <c r="I7" s="670"/>
      <c r="J7" s="670"/>
      <c r="K7" s="670"/>
      <c r="L7" s="670"/>
      <c r="M7" s="670"/>
      <c r="N7" s="670"/>
      <c r="O7" s="670"/>
      <c r="P7" s="670"/>
      <c r="Q7" s="670"/>
      <c r="R7" s="670"/>
      <c r="S7" s="670"/>
      <c r="T7" s="670"/>
      <c r="U7" s="670"/>
      <c r="V7" s="670"/>
      <c r="W7" s="670"/>
      <c r="X7" s="670"/>
      <c r="Y7" s="670"/>
      <c r="Z7" s="670"/>
      <c r="AA7" s="670"/>
      <c r="AB7" s="670"/>
      <c r="AC7" s="670"/>
      <c r="AD7" s="670"/>
      <c r="AE7" s="670"/>
      <c r="AF7" s="670"/>
      <c r="AG7" s="670"/>
      <c r="AH7" s="670"/>
      <c r="AI7" s="670"/>
      <c r="AJ7" s="670"/>
      <c r="AK7" s="670"/>
      <c r="AL7" s="670"/>
      <c r="AM7" s="670"/>
      <c r="AN7" s="670"/>
      <c r="AO7" s="670"/>
      <c r="AP7" s="670"/>
      <c r="AQ7" s="670"/>
      <c r="AR7" s="670"/>
      <c r="AS7" s="670"/>
      <c r="AT7" s="670"/>
      <c r="AU7" s="670"/>
      <c r="AV7" s="670"/>
      <c r="AW7" s="670"/>
      <c r="AX7" s="670"/>
      <c r="AY7" s="670"/>
      <c r="AZ7" s="670"/>
      <c r="BA7" s="670"/>
      <c r="BB7" s="670"/>
      <c r="BC7" s="670"/>
      <c r="BD7" s="670"/>
      <c r="BE7" s="670"/>
      <c r="BF7" s="670"/>
      <c r="BG7" s="670"/>
      <c r="BH7" s="670"/>
      <c r="BI7" s="670"/>
      <c r="BJ7" s="671"/>
      <c r="BK7" s="674" t="s">
        <v>267</v>
      </c>
    </row>
    <row r="8" spans="1:63" x14ac:dyDescent="0.25">
      <c r="A8" s="12" t="s">
        <v>268</v>
      </c>
      <c r="B8" s="16">
        <v>-20</v>
      </c>
      <c r="C8" s="8">
        <v>-19</v>
      </c>
      <c r="D8" s="8">
        <v>-18</v>
      </c>
      <c r="E8" s="8">
        <v>-17</v>
      </c>
      <c r="F8" s="8">
        <v>-16</v>
      </c>
      <c r="G8" s="8">
        <v>-15</v>
      </c>
      <c r="H8" s="8">
        <v>-14</v>
      </c>
      <c r="I8" s="8">
        <v>-13</v>
      </c>
      <c r="J8" s="8">
        <v>-12</v>
      </c>
      <c r="K8" s="8">
        <v>-11</v>
      </c>
      <c r="L8" s="19">
        <v>-10</v>
      </c>
      <c r="M8" s="8">
        <v>-9</v>
      </c>
      <c r="N8" s="8">
        <v>-8</v>
      </c>
      <c r="O8" s="8">
        <v>-7</v>
      </c>
      <c r="P8" s="8">
        <v>-6</v>
      </c>
      <c r="Q8" s="8">
        <v>-5</v>
      </c>
      <c r="R8" s="8">
        <v>-4</v>
      </c>
      <c r="S8" s="8">
        <v>-3</v>
      </c>
      <c r="T8" s="8">
        <v>-2</v>
      </c>
      <c r="U8" s="8">
        <v>-1</v>
      </c>
      <c r="V8" s="18">
        <v>0</v>
      </c>
      <c r="W8" s="8">
        <v>1</v>
      </c>
      <c r="X8" s="8">
        <v>2</v>
      </c>
      <c r="Y8" s="8">
        <v>3</v>
      </c>
      <c r="Z8" s="8">
        <v>4</v>
      </c>
      <c r="AA8" s="8">
        <v>5</v>
      </c>
      <c r="AB8" s="8">
        <v>6</v>
      </c>
      <c r="AC8" s="8">
        <v>7</v>
      </c>
      <c r="AD8" s="8">
        <v>8</v>
      </c>
      <c r="AE8" s="8">
        <v>9</v>
      </c>
      <c r="AF8" s="19">
        <v>10</v>
      </c>
      <c r="AG8" s="8">
        <v>11</v>
      </c>
      <c r="AH8" s="8">
        <v>12</v>
      </c>
      <c r="AI8" s="8">
        <v>13</v>
      </c>
      <c r="AJ8" s="8">
        <v>14</v>
      </c>
      <c r="AK8" s="8">
        <v>15</v>
      </c>
      <c r="AL8" s="8">
        <v>16</v>
      </c>
      <c r="AM8" s="8">
        <v>17</v>
      </c>
      <c r="AN8" s="8">
        <v>18</v>
      </c>
      <c r="AO8" s="8">
        <v>19</v>
      </c>
      <c r="AP8" s="19">
        <v>20</v>
      </c>
      <c r="AQ8" s="8">
        <v>21</v>
      </c>
      <c r="AR8" s="8">
        <v>22</v>
      </c>
      <c r="AS8" s="8">
        <v>23</v>
      </c>
      <c r="AT8" s="8">
        <v>24</v>
      </c>
      <c r="AU8" s="8">
        <v>25</v>
      </c>
      <c r="AV8" s="8">
        <v>26</v>
      </c>
      <c r="AW8" s="8">
        <v>27</v>
      </c>
      <c r="AX8" s="8">
        <v>28</v>
      </c>
      <c r="AY8" s="8">
        <v>29</v>
      </c>
      <c r="AZ8" s="19">
        <v>30</v>
      </c>
      <c r="BA8" s="8">
        <v>31</v>
      </c>
      <c r="BB8" s="8">
        <v>32</v>
      </c>
      <c r="BC8" s="8">
        <v>33</v>
      </c>
      <c r="BD8" s="8">
        <v>34</v>
      </c>
      <c r="BE8" s="8">
        <v>35</v>
      </c>
      <c r="BF8" s="8">
        <v>36</v>
      </c>
      <c r="BG8" s="8">
        <v>37</v>
      </c>
      <c r="BH8" s="8">
        <v>38</v>
      </c>
      <c r="BI8" s="8">
        <v>39</v>
      </c>
      <c r="BJ8" s="20">
        <v>40</v>
      </c>
      <c r="BK8" s="675"/>
    </row>
    <row r="9" spans="1:63" x14ac:dyDescent="0.25">
      <c r="A9" s="23">
        <v>0</v>
      </c>
      <c r="B9" s="14">
        <v>102</v>
      </c>
      <c r="C9" s="3">
        <v>102</v>
      </c>
      <c r="D9" s="3">
        <v>102</v>
      </c>
      <c r="E9" s="3">
        <v>102</v>
      </c>
      <c r="F9" s="3">
        <v>102</v>
      </c>
      <c r="G9" s="3">
        <v>102</v>
      </c>
      <c r="H9" s="3">
        <v>102</v>
      </c>
      <c r="I9" s="3">
        <v>102</v>
      </c>
      <c r="J9" s="3">
        <v>102</v>
      </c>
      <c r="K9" s="3">
        <v>102</v>
      </c>
      <c r="L9" s="17">
        <v>102</v>
      </c>
      <c r="M9" s="3">
        <v>102</v>
      </c>
      <c r="N9" s="3">
        <v>102</v>
      </c>
      <c r="O9" s="3">
        <v>102</v>
      </c>
      <c r="P9" s="3">
        <v>102</v>
      </c>
      <c r="Q9" s="3">
        <v>102</v>
      </c>
      <c r="R9" s="3">
        <v>102</v>
      </c>
      <c r="S9" s="3">
        <v>102</v>
      </c>
      <c r="T9" s="3">
        <v>102</v>
      </c>
      <c r="U9" s="3">
        <v>102</v>
      </c>
      <c r="V9" s="17">
        <v>102</v>
      </c>
      <c r="W9" s="3">
        <v>102</v>
      </c>
      <c r="X9" s="3">
        <v>102</v>
      </c>
      <c r="Y9" s="3">
        <v>102</v>
      </c>
      <c r="Z9" s="3">
        <v>102</v>
      </c>
      <c r="AA9" s="3">
        <v>102</v>
      </c>
      <c r="AB9" s="3">
        <v>102</v>
      </c>
      <c r="AC9" s="3">
        <v>102</v>
      </c>
      <c r="AD9" s="3">
        <v>102</v>
      </c>
      <c r="AE9" s="3">
        <v>102</v>
      </c>
      <c r="AF9" s="17">
        <v>102</v>
      </c>
      <c r="AG9" s="3">
        <v>102</v>
      </c>
      <c r="AH9" s="3">
        <v>102</v>
      </c>
      <c r="AI9" s="3">
        <v>102</v>
      </c>
      <c r="AJ9" s="3">
        <v>102</v>
      </c>
      <c r="AK9" s="3">
        <v>102</v>
      </c>
      <c r="AL9" s="3">
        <v>102</v>
      </c>
      <c r="AM9" s="3">
        <v>102</v>
      </c>
      <c r="AN9" s="3">
        <v>102</v>
      </c>
      <c r="AO9" s="3">
        <v>102</v>
      </c>
      <c r="AP9" s="17">
        <v>102</v>
      </c>
      <c r="AQ9" s="3">
        <v>102</v>
      </c>
      <c r="AR9" s="3">
        <v>102</v>
      </c>
      <c r="AS9" s="3">
        <v>102</v>
      </c>
      <c r="AT9" s="3">
        <v>102</v>
      </c>
      <c r="AU9" s="3">
        <v>102</v>
      </c>
      <c r="AV9" s="3">
        <v>102</v>
      </c>
      <c r="AW9" s="3">
        <v>102</v>
      </c>
      <c r="AX9" s="3">
        <v>102</v>
      </c>
      <c r="AY9" s="3">
        <v>102</v>
      </c>
      <c r="AZ9" s="17">
        <v>102</v>
      </c>
      <c r="BA9" s="3">
        <v>102</v>
      </c>
      <c r="BB9" s="3">
        <v>102</v>
      </c>
      <c r="BC9" s="3">
        <v>102</v>
      </c>
      <c r="BD9" s="3">
        <v>102</v>
      </c>
      <c r="BE9" s="3">
        <v>102</v>
      </c>
      <c r="BF9" s="3">
        <v>102</v>
      </c>
      <c r="BG9" s="3">
        <v>102</v>
      </c>
      <c r="BH9" s="3">
        <v>102</v>
      </c>
      <c r="BI9" s="3">
        <v>102</v>
      </c>
      <c r="BJ9" s="22">
        <v>102</v>
      </c>
      <c r="BK9" s="675"/>
    </row>
    <row r="10" spans="1:63" x14ac:dyDescent="0.25">
      <c r="A10" s="11">
        <v>500</v>
      </c>
      <c r="B10" s="5">
        <v>102</v>
      </c>
      <c r="C10">
        <v>102</v>
      </c>
      <c r="D10">
        <v>102</v>
      </c>
      <c r="E10">
        <v>102</v>
      </c>
      <c r="F10">
        <v>102</v>
      </c>
      <c r="G10">
        <v>102</v>
      </c>
      <c r="H10">
        <v>102</v>
      </c>
      <c r="I10">
        <v>102</v>
      </c>
      <c r="J10">
        <v>102</v>
      </c>
      <c r="K10">
        <v>102</v>
      </c>
      <c r="L10">
        <v>102</v>
      </c>
      <c r="M10">
        <v>102</v>
      </c>
      <c r="N10">
        <v>102</v>
      </c>
      <c r="O10">
        <v>102</v>
      </c>
      <c r="P10">
        <v>102</v>
      </c>
      <c r="Q10">
        <v>102</v>
      </c>
      <c r="R10">
        <v>102</v>
      </c>
      <c r="S10">
        <v>102</v>
      </c>
      <c r="T10">
        <v>102</v>
      </c>
      <c r="U10">
        <v>102</v>
      </c>
      <c r="V10">
        <v>102</v>
      </c>
      <c r="W10">
        <v>102</v>
      </c>
      <c r="X10">
        <v>102</v>
      </c>
      <c r="Y10">
        <v>102</v>
      </c>
      <c r="Z10">
        <v>102</v>
      </c>
      <c r="AA10">
        <v>102</v>
      </c>
      <c r="AB10">
        <v>102</v>
      </c>
      <c r="AC10">
        <v>102</v>
      </c>
      <c r="AD10">
        <v>102</v>
      </c>
      <c r="AE10">
        <v>102</v>
      </c>
      <c r="AF10">
        <v>102</v>
      </c>
      <c r="AG10">
        <v>102</v>
      </c>
      <c r="AH10">
        <v>102</v>
      </c>
      <c r="AI10">
        <v>102</v>
      </c>
      <c r="AJ10">
        <v>102</v>
      </c>
      <c r="AK10">
        <v>102</v>
      </c>
      <c r="AL10">
        <v>102</v>
      </c>
      <c r="AM10">
        <v>102</v>
      </c>
      <c r="AN10">
        <v>102</v>
      </c>
      <c r="AO10">
        <v>102</v>
      </c>
      <c r="AP10">
        <v>102</v>
      </c>
      <c r="AQ10">
        <v>101.925</v>
      </c>
      <c r="AR10">
        <v>101.85</v>
      </c>
      <c r="AS10">
        <v>101.77500000000001</v>
      </c>
      <c r="AT10">
        <v>101.7</v>
      </c>
      <c r="AU10">
        <v>101.625</v>
      </c>
      <c r="AV10">
        <v>101.55</v>
      </c>
      <c r="AW10">
        <v>101.47499999999999</v>
      </c>
      <c r="AX10">
        <v>101.4</v>
      </c>
      <c r="AY10">
        <v>101.325</v>
      </c>
      <c r="AZ10">
        <v>101.25</v>
      </c>
      <c r="BA10">
        <v>101.175</v>
      </c>
      <c r="BB10">
        <v>101.1</v>
      </c>
      <c r="BC10">
        <v>101.02500000000001</v>
      </c>
      <c r="BD10">
        <v>100.95</v>
      </c>
      <c r="BE10">
        <v>100.875</v>
      </c>
      <c r="BF10">
        <v>100.8</v>
      </c>
      <c r="BG10">
        <v>100.72499999999999</v>
      </c>
      <c r="BH10">
        <v>100.65</v>
      </c>
      <c r="BI10">
        <v>100.575</v>
      </c>
      <c r="BJ10">
        <v>100.5</v>
      </c>
      <c r="BK10" s="676"/>
    </row>
    <row r="11" spans="1:63" x14ac:dyDescent="0.25">
      <c r="A11" s="11">
        <v>1000</v>
      </c>
      <c r="B11">
        <v>102</v>
      </c>
      <c r="C11">
        <v>102</v>
      </c>
      <c r="D11">
        <v>102</v>
      </c>
      <c r="E11">
        <v>102</v>
      </c>
      <c r="F11">
        <v>102</v>
      </c>
      <c r="G11">
        <v>102</v>
      </c>
      <c r="H11">
        <v>102</v>
      </c>
      <c r="I11">
        <v>102</v>
      </c>
      <c r="J11">
        <v>102</v>
      </c>
      <c r="K11">
        <v>102</v>
      </c>
      <c r="L11">
        <v>102</v>
      </c>
      <c r="M11">
        <v>102</v>
      </c>
      <c r="N11">
        <v>102</v>
      </c>
      <c r="O11">
        <v>102</v>
      </c>
      <c r="P11">
        <v>102</v>
      </c>
      <c r="Q11">
        <v>102</v>
      </c>
      <c r="R11">
        <v>102</v>
      </c>
      <c r="S11">
        <v>102</v>
      </c>
      <c r="T11">
        <v>102</v>
      </c>
      <c r="U11">
        <v>102</v>
      </c>
      <c r="V11">
        <v>102</v>
      </c>
      <c r="W11">
        <v>102</v>
      </c>
      <c r="X11">
        <v>102</v>
      </c>
      <c r="Y11">
        <v>102</v>
      </c>
      <c r="Z11">
        <v>102</v>
      </c>
      <c r="AA11">
        <v>102</v>
      </c>
      <c r="AB11">
        <v>102</v>
      </c>
      <c r="AC11">
        <v>102</v>
      </c>
      <c r="AD11">
        <v>102</v>
      </c>
      <c r="AE11">
        <v>102</v>
      </c>
      <c r="AF11">
        <v>102</v>
      </c>
      <c r="AG11">
        <v>102</v>
      </c>
      <c r="AH11">
        <v>102</v>
      </c>
      <c r="AI11">
        <v>102</v>
      </c>
      <c r="AJ11">
        <v>102</v>
      </c>
      <c r="AK11">
        <v>102</v>
      </c>
      <c r="AL11">
        <v>102</v>
      </c>
      <c r="AM11">
        <v>102</v>
      </c>
      <c r="AN11">
        <v>102</v>
      </c>
      <c r="AO11">
        <v>102</v>
      </c>
      <c r="AP11">
        <v>102</v>
      </c>
      <c r="AQ11">
        <v>101.85</v>
      </c>
      <c r="AR11">
        <v>101.7</v>
      </c>
      <c r="AS11">
        <v>101.55</v>
      </c>
      <c r="AT11">
        <v>101.4</v>
      </c>
      <c r="AU11">
        <v>101.25</v>
      </c>
      <c r="AV11">
        <v>101.1</v>
      </c>
      <c r="AW11">
        <v>100.95</v>
      </c>
      <c r="AX11">
        <v>100.8</v>
      </c>
      <c r="AY11">
        <v>100.65</v>
      </c>
      <c r="AZ11">
        <v>100.5</v>
      </c>
      <c r="BA11">
        <v>100.35</v>
      </c>
      <c r="BB11">
        <v>100.2</v>
      </c>
      <c r="BC11">
        <v>100.05</v>
      </c>
      <c r="BD11">
        <v>99.9</v>
      </c>
      <c r="BE11">
        <v>99.75</v>
      </c>
      <c r="BF11">
        <v>99.6</v>
      </c>
      <c r="BG11">
        <v>99.45</v>
      </c>
      <c r="BH11">
        <v>99.3</v>
      </c>
      <c r="BI11">
        <v>99.149999999999906</v>
      </c>
      <c r="BJ11">
        <v>98.999999999999901</v>
      </c>
      <c r="BK11" s="676"/>
    </row>
    <row r="12" spans="1:63" x14ac:dyDescent="0.25">
      <c r="A12" s="11">
        <v>1500</v>
      </c>
      <c r="B12">
        <v>102</v>
      </c>
      <c r="C12">
        <v>102</v>
      </c>
      <c r="D12">
        <v>102</v>
      </c>
      <c r="E12">
        <v>102</v>
      </c>
      <c r="F12">
        <v>102</v>
      </c>
      <c r="G12">
        <v>102</v>
      </c>
      <c r="H12">
        <v>102</v>
      </c>
      <c r="I12">
        <v>102</v>
      </c>
      <c r="J12">
        <v>102</v>
      </c>
      <c r="K12">
        <v>102</v>
      </c>
      <c r="L12">
        <v>102</v>
      </c>
      <c r="M12">
        <v>102</v>
      </c>
      <c r="N12">
        <v>102</v>
      </c>
      <c r="O12">
        <v>102</v>
      </c>
      <c r="P12">
        <v>102</v>
      </c>
      <c r="Q12">
        <v>102</v>
      </c>
      <c r="R12">
        <v>102</v>
      </c>
      <c r="S12">
        <v>102</v>
      </c>
      <c r="T12">
        <v>102</v>
      </c>
      <c r="U12">
        <v>102</v>
      </c>
      <c r="V12">
        <v>102</v>
      </c>
      <c r="W12">
        <v>102</v>
      </c>
      <c r="X12">
        <v>102</v>
      </c>
      <c r="Y12">
        <v>102</v>
      </c>
      <c r="Z12">
        <v>102</v>
      </c>
      <c r="AA12">
        <v>102</v>
      </c>
      <c r="AB12">
        <v>102</v>
      </c>
      <c r="AC12">
        <v>102</v>
      </c>
      <c r="AD12">
        <v>102</v>
      </c>
      <c r="AE12">
        <v>102</v>
      </c>
      <c r="AF12">
        <v>102</v>
      </c>
      <c r="AG12">
        <v>102</v>
      </c>
      <c r="AH12">
        <v>102</v>
      </c>
      <c r="AI12">
        <v>102</v>
      </c>
      <c r="AJ12">
        <v>102</v>
      </c>
      <c r="AK12">
        <v>102</v>
      </c>
      <c r="AL12">
        <v>102</v>
      </c>
      <c r="AM12">
        <v>102</v>
      </c>
      <c r="AN12">
        <v>102</v>
      </c>
      <c r="AO12">
        <v>102</v>
      </c>
      <c r="AP12">
        <v>102</v>
      </c>
      <c r="AQ12">
        <v>101.77500000000001</v>
      </c>
      <c r="AR12">
        <v>101.55</v>
      </c>
      <c r="AS12">
        <v>101.325</v>
      </c>
      <c r="AT12">
        <v>101.1</v>
      </c>
      <c r="AU12">
        <v>100.875</v>
      </c>
      <c r="AV12">
        <v>100.65</v>
      </c>
      <c r="AW12">
        <v>100.425</v>
      </c>
      <c r="AX12">
        <v>100.2</v>
      </c>
      <c r="AY12">
        <v>99.975000000000094</v>
      </c>
      <c r="AZ12">
        <v>99.750000000000099</v>
      </c>
      <c r="BA12">
        <v>99.525000000000006</v>
      </c>
      <c r="BB12">
        <v>99.299999999999898</v>
      </c>
      <c r="BC12">
        <v>99.074999999999804</v>
      </c>
      <c r="BD12">
        <v>98.849999999999696</v>
      </c>
      <c r="BE12">
        <v>98.624999999999602</v>
      </c>
      <c r="BF12">
        <v>98.399999999999494</v>
      </c>
      <c r="BG12">
        <v>98.1749999999994</v>
      </c>
      <c r="BH12">
        <v>97.949999999999307</v>
      </c>
      <c r="BI12">
        <v>97.724999999999298</v>
      </c>
      <c r="BJ12">
        <v>97.499999999999204</v>
      </c>
      <c r="BK12" s="676"/>
    </row>
    <row r="13" spans="1:63" x14ac:dyDescent="0.25">
      <c r="A13" s="24">
        <v>2000</v>
      </c>
      <c r="B13" s="15">
        <v>102</v>
      </c>
      <c r="C13">
        <v>102</v>
      </c>
      <c r="D13">
        <v>102</v>
      </c>
      <c r="E13">
        <v>102</v>
      </c>
      <c r="F13">
        <v>102</v>
      </c>
      <c r="G13">
        <v>102</v>
      </c>
      <c r="H13">
        <v>102</v>
      </c>
      <c r="I13">
        <v>102</v>
      </c>
      <c r="J13">
        <v>102</v>
      </c>
      <c r="K13">
        <v>102</v>
      </c>
      <c r="L13" s="18">
        <v>102</v>
      </c>
      <c r="M13">
        <v>102</v>
      </c>
      <c r="N13">
        <v>102</v>
      </c>
      <c r="O13">
        <v>102</v>
      </c>
      <c r="P13">
        <v>102</v>
      </c>
      <c r="Q13">
        <v>102</v>
      </c>
      <c r="R13">
        <v>102</v>
      </c>
      <c r="S13">
        <v>102</v>
      </c>
      <c r="T13">
        <v>102</v>
      </c>
      <c r="U13">
        <v>102</v>
      </c>
      <c r="V13" s="18">
        <v>102</v>
      </c>
      <c r="W13">
        <v>102</v>
      </c>
      <c r="X13">
        <v>102</v>
      </c>
      <c r="Y13">
        <v>102</v>
      </c>
      <c r="Z13">
        <v>102</v>
      </c>
      <c r="AA13">
        <v>102</v>
      </c>
      <c r="AB13">
        <v>102</v>
      </c>
      <c r="AC13">
        <v>102</v>
      </c>
      <c r="AD13">
        <v>102</v>
      </c>
      <c r="AE13">
        <v>102</v>
      </c>
      <c r="AF13" s="18">
        <v>102</v>
      </c>
      <c r="AG13">
        <v>102</v>
      </c>
      <c r="AH13">
        <v>102</v>
      </c>
      <c r="AI13">
        <v>102</v>
      </c>
      <c r="AJ13">
        <v>102</v>
      </c>
      <c r="AK13">
        <v>102</v>
      </c>
      <c r="AL13">
        <v>102</v>
      </c>
      <c r="AM13">
        <v>102</v>
      </c>
      <c r="AN13">
        <v>102</v>
      </c>
      <c r="AO13">
        <v>102</v>
      </c>
      <c r="AP13" s="18">
        <v>102</v>
      </c>
      <c r="AQ13">
        <v>101.7</v>
      </c>
      <c r="AR13">
        <v>101.4</v>
      </c>
      <c r="AS13">
        <v>101.1</v>
      </c>
      <c r="AT13">
        <v>100.8</v>
      </c>
      <c r="AU13">
        <v>100.5</v>
      </c>
      <c r="AV13">
        <v>100.2</v>
      </c>
      <c r="AW13">
        <v>99.9</v>
      </c>
      <c r="AX13">
        <v>99.6</v>
      </c>
      <c r="AY13">
        <v>99.3</v>
      </c>
      <c r="AZ13" s="18">
        <v>99</v>
      </c>
      <c r="BA13">
        <v>98.7</v>
      </c>
      <c r="BB13" s="18">
        <v>98.4</v>
      </c>
      <c r="BC13">
        <v>98.1</v>
      </c>
      <c r="BD13" s="18">
        <v>97.8</v>
      </c>
      <c r="BE13">
        <v>97.5</v>
      </c>
      <c r="BF13" s="18">
        <v>97.2</v>
      </c>
      <c r="BG13">
        <v>96.9</v>
      </c>
      <c r="BH13" s="18">
        <v>96.6</v>
      </c>
      <c r="BI13">
        <v>96.3</v>
      </c>
      <c r="BJ13" s="18">
        <v>96</v>
      </c>
      <c r="BK13" s="675"/>
    </row>
    <row r="14" spans="1:63" x14ac:dyDescent="0.25">
      <c r="A14" s="11">
        <v>2500</v>
      </c>
      <c r="B14">
        <v>102</v>
      </c>
      <c r="C14">
        <v>102</v>
      </c>
      <c r="D14">
        <v>102</v>
      </c>
      <c r="E14">
        <v>102</v>
      </c>
      <c r="F14">
        <v>102</v>
      </c>
      <c r="G14">
        <v>102</v>
      </c>
      <c r="H14">
        <v>102</v>
      </c>
      <c r="I14">
        <v>102</v>
      </c>
      <c r="J14">
        <v>102</v>
      </c>
      <c r="K14">
        <v>102</v>
      </c>
      <c r="L14">
        <v>102</v>
      </c>
      <c r="M14">
        <v>102</v>
      </c>
      <c r="N14">
        <v>102</v>
      </c>
      <c r="O14">
        <v>102</v>
      </c>
      <c r="P14">
        <v>102</v>
      </c>
      <c r="Q14">
        <v>102</v>
      </c>
      <c r="R14">
        <v>102</v>
      </c>
      <c r="S14">
        <v>102</v>
      </c>
      <c r="T14">
        <v>102</v>
      </c>
      <c r="U14">
        <v>102</v>
      </c>
      <c r="V14">
        <v>102</v>
      </c>
      <c r="W14">
        <v>101.9</v>
      </c>
      <c r="X14">
        <v>101.8</v>
      </c>
      <c r="Y14">
        <v>101.7</v>
      </c>
      <c r="Z14">
        <v>101.6</v>
      </c>
      <c r="AA14">
        <v>101.5</v>
      </c>
      <c r="AB14">
        <v>101.4</v>
      </c>
      <c r="AC14">
        <v>101.3</v>
      </c>
      <c r="AD14">
        <v>101.2</v>
      </c>
      <c r="AE14">
        <v>101.1</v>
      </c>
      <c r="AF14">
        <v>101</v>
      </c>
      <c r="AG14">
        <v>100.9</v>
      </c>
      <c r="AH14">
        <v>100.8</v>
      </c>
      <c r="AI14">
        <v>100.7</v>
      </c>
      <c r="AJ14">
        <v>100.6</v>
      </c>
      <c r="AK14">
        <v>100.5</v>
      </c>
      <c r="AL14">
        <v>100.4</v>
      </c>
      <c r="AM14">
        <v>100.3</v>
      </c>
      <c r="AN14">
        <v>100.2</v>
      </c>
      <c r="AO14">
        <v>100.1</v>
      </c>
      <c r="AP14">
        <v>100</v>
      </c>
      <c r="AQ14">
        <v>99.7</v>
      </c>
      <c r="AR14">
        <v>99.4</v>
      </c>
      <c r="AS14">
        <v>99.1</v>
      </c>
      <c r="AT14">
        <v>98.8</v>
      </c>
      <c r="AU14">
        <v>98.5</v>
      </c>
      <c r="AV14">
        <v>98.2</v>
      </c>
      <c r="AW14">
        <v>97.9</v>
      </c>
      <c r="AX14">
        <v>97.6</v>
      </c>
      <c r="AY14">
        <v>97.3</v>
      </c>
      <c r="AZ14">
        <v>97</v>
      </c>
      <c r="BA14">
        <v>96.674999999999997</v>
      </c>
      <c r="BB14">
        <v>96.35</v>
      </c>
      <c r="BC14">
        <v>96.025000000000006</v>
      </c>
      <c r="BD14">
        <v>95.7</v>
      </c>
      <c r="BE14">
        <v>95.375</v>
      </c>
      <c r="BF14">
        <v>95.05</v>
      </c>
      <c r="BG14">
        <v>94.724999999999994</v>
      </c>
      <c r="BH14">
        <v>94.4</v>
      </c>
      <c r="BI14">
        <v>94.075000000000003</v>
      </c>
      <c r="BJ14">
        <v>93.75</v>
      </c>
      <c r="BK14" s="675"/>
    </row>
    <row r="15" spans="1:63" x14ac:dyDescent="0.25">
      <c r="A15" s="11">
        <v>3000</v>
      </c>
      <c r="B15">
        <v>102</v>
      </c>
      <c r="C15">
        <v>102</v>
      </c>
      <c r="D15">
        <v>102</v>
      </c>
      <c r="E15">
        <v>102</v>
      </c>
      <c r="F15">
        <v>102</v>
      </c>
      <c r="G15">
        <v>102</v>
      </c>
      <c r="H15">
        <v>102</v>
      </c>
      <c r="I15">
        <v>102</v>
      </c>
      <c r="J15">
        <v>102</v>
      </c>
      <c r="K15">
        <v>102</v>
      </c>
      <c r="L15">
        <v>102</v>
      </c>
      <c r="M15">
        <v>102</v>
      </c>
      <c r="N15">
        <v>102</v>
      </c>
      <c r="O15">
        <v>102</v>
      </c>
      <c r="P15">
        <v>102</v>
      </c>
      <c r="Q15">
        <v>102</v>
      </c>
      <c r="R15">
        <v>102</v>
      </c>
      <c r="S15">
        <v>102</v>
      </c>
      <c r="T15">
        <v>102</v>
      </c>
      <c r="U15">
        <v>102</v>
      </c>
      <c r="V15">
        <v>102</v>
      </c>
      <c r="W15">
        <v>101.8</v>
      </c>
      <c r="X15">
        <v>101.6</v>
      </c>
      <c r="Y15">
        <v>101.4</v>
      </c>
      <c r="Z15">
        <v>101.2</v>
      </c>
      <c r="AA15">
        <v>101</v>
      </c>
      <c r="AB15">
        <v>100.8</v>
      </c>
      <c r="AC15">
        <v>100.6</v>
      </c>
      <c r="AD15">
        <v>100.4</v>
      </c>
      <c r="AE15">
        <v>100.2</v>
      </c>
      <c r="AF15">
        <v>100</v>
      </c>
      <c r="AG15">
        <v>99.8</v>
      </c>
      <c r="AH15">
        <v>99.6</v>
      </c>
      <c r="AI15">
        <v>99.4</v>
      </c>
      <c r="AJ15">
        <v>99.2</v>
      </c>
      <c r="AK15">
        <v>99</v>
      </c>
      <c r="AL15">
        <v>98.8</v>
      </c>
      <c r="AM15">
        <v>98.6</v>
      </c>
      <c r="AN15">
        <v>98.4</v>
      </c>
      <c r="AO15">
        <v>98.2</v>
      </c>
      <c r="AP15">
        <v>98</v>
      </c>
      <c r="AQ15">
        <v>97.7</v>
      </c>
      <c r="AR15">
        <v>97.4</v>
      </c>
      <c r="AS15">
        <v>97.1</v>
      </c>
      <c r="AT15">
        <v>96.8</v>
      </c>
      <c r="AU15">
        <v>96.5</v>
      </c>
      <c r="AV15">
        <v>96.2</v>
      </c>
      <c r="AW15">
        <v>95.9</v>
      </c>
      <c r="AX15">
        <v>95.6</v>
      </c>
      <c r="AY15">
        <v>95.3</v>
      </c>
      <c r="AZ15">
        <v>95</v>
      </c>
      <c r="BA15">
        <v>94.65</v>
      </c>
      <c r="BB15">
        <v>94.3</v>
      </c>
      <c r="BC15">
        <v>93.95</v>
      </c>
      <c r="BD15">
        <v>93.6</v>
      </c>
      <c r="BE15">
        <v>93.25</v>
      </c>
      <c r="BF15">
        <v>92.9</v>
      </c>
      <c r="BG15">
        <v>92.55</v>
      </c>
      <c r="BH15">
        <v>92.2</v>
      </c>
      <c r="BI15">
        <v>91.850000000000094</v>
      </c>
      <c r="BJ15">
        <v>91.500000000000099</v>
      </c>
      <c r="BK15" s="675"/>
    </row>
    <row r="16" spans="1:63" x14ac:dyDescent="0.25">
      <c r="A16" s="11">
        <v>3500</v>
      </c>
      <c r="B16">
        <v>102</v>
      </c>
      <c r="C16">
        <v>102</v>
      </c>
      <c r="D16">
        <v>102</v>
      </c>
      <c r="E16">
        <v>102</v>
      </c>
      <c r="F16">
        <v>102</v>
      </c>
      <c r="G16">
        <v>102</v>
      </c>
      <c r="H16">
        <v>102</v>
      </c>
      <c r="I16">
        <v>102</v>
      </c>
      <c r="J16">
        <v>102</v>
      </c>
      <c r="K16">
        <v>102</v>
      </c>
      <c r="L16">
        <v>102</v>
      </c>
      <c r="M16">
        <v>102</v>
      </c>
      <c r="N16">
        <v>102</v>
      </c>
      <c r="O16">
        <v>102</v>
      </c>
      <c r="P16">
        <v>102</v>
      </c>
      <c r="Q16">
        <v>102</v>
      </c>
      <c r="R16">
        <v>102</v>
      </c>
      <c r="S16">
        <v>102</v>
      </c>
      <c r="T16">
        <v>102</v>
      </c>
      <c r="U16">
        <v>102</v>
      </c>
      <c r="V16">
        <v>102</v>
      </c>
      <c r="W16">
        <v>101.7</v>
      </c>
      <c r="X16">
        <v>101.4</v>
      </c>
      <c r="Y16">
        <v>101.1</v>
      </c>
      <c r="Z16">
        <v>100.8</v>
      </c>
      <c r="AA16">
        <v>100.5</v>
      </c>
      <c r="AB16">
        <v>100.2</v>
      </c>
      <c r="AC16">
        <v>99.9</v>
      </c>
      <c r="AD16">
        <v>99.6</v>
      </c>
      <c r="AE16">
        <v>99.3</v>
      </c>
      <c r="AF16">
        <v>99</v>
      </c>
      <c r="AG16">
        <v>98.7</v>
      </c>
      <c r="AH16">
        <v>98.4</v>
      </c>
      <c r="AI16">
        <v>98.1</v>
      </c>
      <c r="AJ16">
        <v>97.8</v>
      </c>
      <c r="AK16">
        <v>97.5</v>
      </c>
      <c r="AL16">
        <v>97.2</v>
      </c>
      <c r="AM16">
        <v>96.9</v>
      </c>
      <c r="AN16">
        <v>96.6</v>
      </c>
      <c r="AO16">
        <v>96.300000000000097</v>
      </c>
      <c r="AP16">
        <v>96</v>
      </c>
      <c r="AQ16">
        <v>95.7</v>
      </c>
      <c r="AR16">
        <v>95.4</v>
      </c>
      <c r="AS16">
        <v>95.1</v>
      </c>
      <c r="AT16">
        <v>94.8</v>
      </c>
      <c r="AU16">
        <v>94.5</v>
      </c>
      <c r="AV16">
        <v>94.2</v>
      </c>
      <c r="AW16">
        <v>93.9</v>
      </c>
      <c r="AX16">
        <v>93.6</v>
      </c>
      <c r="AY16">
        <v>93.3</v>
      </c>
      <c r="AZ16">
        <v>93</v>
      </c>
      <c r="BA16">
        <v>92.625</v>
      </c>
      <c r="BB16">
        <v>92.25</v>
      </c>
      <c r="BC16">
        <v>91.875</v>
      </c>
      <c r="BD16">
        <v>91.5</v>
      </c>
      <c r="BE16">
        <v>91.125</v>
      </c>
      <c r="BF16">
        <v>90.75</v>
      </c>
      <c r="BG16">
        <v>90.375</v>
      </c>
      <c r="BH16">
        <v>90</v>
      </c>
      <c r="BI16">
        <v>89.625</v>
      </c>
      <c r="BJ16">
        <v>89.25</v>
      </c>
      <c r="BK16" s="675"/>
    </row>
    <row r="17" spans="1:63" x14ac:dyDescent="0.25">
      <c r="A17" s="24">
        <v>4000</v>
      </c>
      <c r="B17" s="15">
        <v>102</v>
      </c>
      <c r="C17">
        <v>102</v>
      </c>
      <c r="D17">
        <v>102</v>
      </c>
      <c r="E17">
        <v>102</v>
      </c>
      <c r="F17">
        <v>102</v>
      </c>
      <c r="G17">
        <v>102</v>
      </c>
      <c r="H17">
        <v>102</v>
      </c>
      <c r="I17">
        <v>102</v>
      </c>
      <c r="J17">
        <v>102</v>
      </c>
      <c r="K17">
        <v>102</v>
      </c>
      <c r="L17" s="18">
        <v>102</v>
      </c>
      <c r="M17">
        <v>102</v>
      </c>
      <c r="N17">
        <v>102</v>
      </c>
      <c r="O17">
        <v>102</v>
      </c>
      <c r="P17">
        <v>102</v>
      </c>
      <c r="Q17">
        <v>102</v>
      </c>
      <c r="R17">
        <v>102</v>
      </c>
      <c r="S17">
        <v>102</v>
      </c>
      <c r="T17">
        <v>102</v>
      </c>
      <c r="U17">
        <v>102</v>
      </c>
      <c r="V17" s="18">
        <v>102</v>
      </c>
      <c r="W17">
        <v>101.6</v>
      </c>
      <c r="X17">
        <v>101.2</v>
      </c>
      <c r="Y17">
        <v>100.8</v>
      </c>
      <c r="Z17">
        <v>100.4</v>
      </c>
      <c r="AA17">
        <v>100</v>
      </c>
      <c r="AB17">
        <v>99.6</v>
      </c>
      <c r="AC17">
        <v>99.2</v>
      </c>
      <c r="AD17">
        <v>98.8</v>
      </c>
      <c r="AE17">
        <v>98.399999999999906</v>
      </c>
      <c r="AF17" s="18">
        <v>98</v>
      </c>
      <c r="AG17">
        <v>97.599999999999696</v>
      </c>
      <c r="AH17">
        <v>97.199999999999605</v>
      </c>
      <c r="AI17">
        <v>96.7999999999995</v>
      </c>
      <c r="AJ17">
        <v>96.399999999999494</v>
      </c>
      <c r="AK17">
        <v>95.999999999999403</v>
      </c>
      <c r="AL17">
        <v>95.599999999999298</v>
      </c>
      <c r="AM17">
        <v>95.199999999999207</v>
      </c>
      <c r="AN17">
        <v>94.799999999999102</v>
      </c>
      <c r="AO17">
        <v>94.399999999998997</v>
      </c>
      <c r="AP17" s="18">
        <v>94</v>
      </c>
      <c r="AQ17">
        <v>93.7</v>
      </c>
      <c r="AR17">
        <v>93.4</v>
      </c>
      <c r="AS17">
        <v>93.1</v>
      </c>
      <c r="AT17">
        <v>92.8</v>
      </c>
      <c r="AU17">
        <v>92.5</v>
      </c>
      <c r="AV17">
        <v>92.2</v>
      </c>
      <c r="AW17">
        <v>91.9</v>
      </c>
      <c r="AX17">
        <v>91.6</v>
      </c>
      <c r="AY17">
        <v>91.3</v>
      </c>
      <c r="AZ17" s="18">
        <v>91</v>
      </c>
      <c r="BA17">
        <v>90.6</v>
      </c>
      <c r="BB17" s="18">
        <v>90.2</v>
      </c>
      <c r="BC17">
        <v>89.8</v>
      </c>
      <c r="BD17" s="18">
        <v>89.4</v>
      </c>
      <c r="BE17">
        <v>89</v>
      </c>
      <c r="BF17" s="18">
        <v>88.6</v>
      </c>
      <c r="BG17">
        <v>88.2</v>
      </c>
      <c r="BH17" s="18">
        <v>87.8</v>
      </c>
      <c r="BI17">
        <v>87.399999999999906</v>
      </c>
      <c r="BJ17" s="18">
        <v>86.999999999999901</v>
      </c>
      <c r="BK17" s="675"/>
    </row>
    <row r="18" spans="1:63" x14ac:dyDescent="0.25">
      <c r="A18" s="11">
        <v>4500</v>
      </c>
      <c r="B18" s="5">
        <v>102</v>
      </c>
      <c r="C18">
        <v>101.9</v>
      </c>
      <c r="D18">
        <v>101.8</v>
      </c>
      <c r="E18">
        <v>101.7</v>
      </c>
      <c r="F18">
        <v>101.6</v>
      </c>
      <c r="G18">
        <v>101.5</v>
      </c>
      <c r="H18">
        <v>101.4</v>
      </c>
      <c r="I18">
        <v>101.3</v>
      </c>
      <c r="J18">
        <v>101.2</v>
      </c>
      <c r="K18">
        <v>101.1</v>
      </c>
      <c r="L18">
        <v>101</v>
      </c>
      <c r="M18">
        <v>100.9</v>
      </c>
      <c r="N18">
        <v>100.8</v>
      </c>
      <c r="O18">
        <v>100.7</v>
      </c>
      <c r="P18">
        <v>100.6</v>
      </c>
      <c r="Q18">
        <v>100.5</v>
      </c>
      <c r="R18">
        <v>100.4</v>
      </c>
      <c r="S18">
        <v>100.3</v>
      </c>
      <c r="T18">
        <v>100.2</v>
      </c>
      <c r="U18">
        <v>100.1</v>
      </c>
      <c r="V18">
        <v>100</v>
      </c>
      <c r="W18">
        <v>99.6</v>
      </c>
      <c r="X18">
        <v>99.2</v>
      </c>
      <c r="Y18">
        <v>98.8</v>
      </c>
      <c r="Z18">
        <v>98.4</v>
      </c>
      <c r="AA18">
        <v>98</v>
      </c>
      <c r="AB18">
        <v>97.6</v>
      </c>
      <c r="AC18">
        <v>97.2</v>
      </c>
      <c r="AD18">
        <v>96.8</v>
      </c>
      <c r="AE18">
        <v>96.399999999999906</v>
      </c>
      <c r="AF18">
        <v>96</v>
      </c>
      <c r="AG18">
        <v>95.625</v>
      </c>
      <c r="AH18">
        <v>95.25</v>
      </c>
      <c r="AI18">
        <v>94.875</v>
      </c>
      <c r="AJ18">
        <v>94.5</v>
      </c>
      <c r="AK18">
        <v>94.125</v>
      </c>
      <c r="AL18">
        <v>93.75</v>
      </c>
      <c r="AM18">
        <v>93.375</v>
      </c>
      <c r="AN18">
        <v>93</v>
      </c>
      <c r="AO18">
        <v>92.625</v>
      </c>
      <c r="AP18">
        <v>92.25</v>
      </c>
      <c r="AQ18">
        <v>91.9</v>
      </c>
      <c r="AR18">
        <v>91.55</v>
      </c>
      <c r="AS18">
        <v>91.2</v>
      </c>
      <c r="AT18">
        <v>90.85</v>
      </c>
      <c r="AU18">
        <v>90.5</v>
      </c>
      <c r="AV18">
        <v>90.15</v>
      </c>
      <c r="AW18">
        <v>89.8</v>
      </c>
      <c r="AX18">
        <v>89.45</v>
      </c>
      <c r="AY18">
        <v>89.100000000000094</v>
      </c>
      <c r="AZ18">
        <v>88.750000000000099</v>
      </c>
      <c r="BA18">
        <v>88.325000000000003</v>
      </c>
      <c r="BB18">
        <v>87.899999999999906</v>
      </c>
      <c r="BC18">
        <v>87.474999999999795</v>
      </c>
      <c r="BD18">
        <v>87.049999999999699</v>
      </c>
      <c r="BE18">
        <v>86.624999999999602</v>
      </c>
      <c r="BF18">
        <v>86.199999999999505</v>
      </c>
      <c r="BG18">
        <v>85.774999999999395</v>
      </c>
      <c r="BH18">
        <v>85.349999999999298</v>
      </c>
      <c r="BI18">
        <v>84.924999999999201</v>
      </c>
      <c r="BJ18">
        <v>84.499999999999105</v>
      </c>
      <c r="BK18" s="675"/>
    </row>
    <row r="19" spans="1:63" x14ac:dyDescent="0.25">
      <c r="A19" s="11">
        <v>5000</v>
      </c>
      <c r="B19" s="5">
        <v>102</v>
      </c>
      <c r="C19">
        <v>101.8</v>
      </c>
      <c r="D19">
        <v>101.6</v>
      </c>
      <c r="E19">
        <v>101.4</v>
      </c>
      <c r="F19">
        <v>101.2</v>
      </c>
      <c r="G19">
        <v>101</v>
      </c>
      <c r="H19">
        <v>100.8</v>
      </c>
      <c r="I19">
        <v>100.6</v>
      </c>
      <c r="J19">
        <v>100.4</v>
      </c>
      <c r="K19">
        <v>100.2</v>
      </c>
      <c r="L19">
        <v>100</v>
      </c>
      <c r="M19">
        <v>99.8</v>
      </c>
      <c r="N19">
        <v>99.6</v>
      </c>
      <c r="O19">
        <v>99.4</v>
      </c>
      <c r="P19">
        <v>99.2</v>
      </c>
      <c r="Q19">
        <v>99</v>
      </c>
      <c r="R19">
        <v>98.8</v>
      </c>
      <c r="S19">
        <v>98.6</v>
      </c>
      <c r="T19">
        <v>98.4</v>
      </c>
      <c r="U19">
        <v>98.2</v>
      </c>
      <c r="V19">
        <v>98</v>
      </c>
      <c r="W19">
        <v>97.6</v>
      </c>
      <c r="X19">
        <v>97.2</v>
      </c>
      <c r="Y19">
        <v>96.8</v>
      </c>
      <c r="Z19">
        <v>96.4</v>
      </c>
      <c r="AA19">
        <v>96</v>
      </c>
      <c r="AB19">
        <v>95.6</v>
      </c>
      <c r="AC19">
        <v>95.2</v>
      </c>
      <c r="AD19">
        <v>94.8</v>
      </c>
      <c r="AE19">
        <v>94.399999999999906</v>
      </c>
      <c r="AF19">
        <v>94</v>
      </c>
      <c r="AG19">
        <v>93.65</v>
      </c>
      <c r="AH19">
        <v>93.3</v>
      </c>
      <c r="AI19">
        <v>92.95</v>
      </c>
      <c r="AJ19">
        <v>92.6</v>
      </c>
      <c r="AK19">
        <v>92.25</v>
      </c>
      <c r="AL19">
        <v>91.9</v>
      </c>
      <c r="AM19">
        <v>91.55</v>
      </c>
      <c r="AN19">
        <v>91.2</v>
      </c>
      <c r="AO19">
        <v>90.850000000000094</v>
      </c>
      <c r="AP19">
        <v>90.500000000000099</v>
      </c>
      <c r="AQ19">
        <v>90.1</v>
      </c>
      <c r="AR19">
        <v>89.699999999999903</v>
      </c>
      <c r="AS19">
        <v>89.299999999999798</v>
      </c>
      <c r="AT19">
        <v>88.899999999999693</v>
      </c>
      <c r="AU19">
        <v>88.499999999999602</v>
      </c>
      <c r="AV19">
        <v>88.099999999999497</v>
      </c>
      <c r="AW19">
        <v>87.699999999999406</v>
      </c>
      <c r="AX19">
        <v>87.299999999999301</v>
      </c>
      <c r="AY19">
        <v>86.899999999999196</v>
      </c>
      <c r="AZ19">
        <v>86.499999999999005</v>
      </c>
      <c r="BA19">
        <v>86.05</v>
      </c>
      <c r="BB19">
        <v>85.600000000001003</v>
      </c>
      <c r="BC19">
        <v>85.150000000001995</v>
      </c>
      <c r="BD19">
        <v>84.700000000003001</v>
      </c>
      <c r="BE19">
        <v>84.250000000003993</v>
      </c>
      <c r="BF19">
        <v>83.800000000004999</v>
      </c>
      <c r="BG19">
        <v>83.350000000005906</v>
      </c>
      <c r="BH19">
        <v>82.900000000006898</v>
      </c>
      <c r="BI19">
        <v>82.450000000007904</v>
      </c>
      <c r="BJ19">
        <v>82.000000000008896</v>
      </c>
      <c r="BK19" s="675"/>
    </row>
    <row r="20" spans="1:63" x14ac:dyDescent="0.25">
      <c r="A20" s="11">
        <v>5500</v>
      </c>
      <c r="B20" s="5">
        <v>102</v>
      </c>
      <c r="C20">
        <v>101.7</v>
      </c>
      <c r="D20">
        <v>101.4</v>
      </c>
      <c r="E20">
        <v>101.1</v>
      </c>
      <c r="F20">
        <v>100.8</v>
      </c>
      <c r="G20">
        <v>100.5</v>
      </c>
      <c r="H20">
        <v>100.2</v>
      </c>
      <c r="I20">
        <v>99.9</v>
      </c>
      <c r="J20">
        <v>99.6</v>
      </c>
      <c r="K20">
        <v>99.3</v>
      </c>
      <c r="L20">
        <v>99</v>
      </c>
      <c r="M20">
        <v>98.7</v>
      </c>
      <c r="N20">
        <v>98.4</v>
      </c>
      <c r="O20">
        <v>98.1</v>
      </c>
      <c r="P20">
        <v>97.8</v>
      </c>
      <c r="Q20">
        <v>97.5</v>
      </c>
      <c r="R20">
        <v>97.2</v>
      </c>
      <c r="S20">
        <v>96.9</v>
      </c>
      <c r="T20">
        <v>96.6</v>
      </c>
      <c r="U20">
        <v>96.300000000000097</v>
      </c>
      <c r="V20">
        <v>96.000000000000099</v>
      </c>
      <c r="W20">
        <v>95.6</v>
      </c>
      <c r="X20">
        <v>95.2</v>
      </c>
      <c r="Y20">
        <v>94.8</v>
      </c>
      <c r="Z20">
        <v>94.4</v>
      </c>
      <c r="AA20">
        <v>94</v>
      </c>
      <c r="AB20">
        <v>93.6</v>
      </c>
      <c r="AC20">
        <v>93.2</v>
      </c>
      <c r="AD20">
        <v>92.8</v>
      </c>
      <c r="AE20">
        <v>92.399999999999906</v>
      </c>
      <c r="AF20">
        <v>92</v>
      </c>
      <c r="AG20">
        <v>91.674999999999997</v>
      </c>
      <c r="AH20">
        <v>91.35</v>
      </c>
      <c r="AI20">
        <v>91.025000000000006</v>
      </c>
      <c r="AJ20">
        <v>90.7</v>
      </c>
      <c r="AK20">
        <v>90.375</v>
      </c>
      <c r="AL20">
        <v>90.05</v>
      </c>
      <c r="AM20">
        <v>89.724999999999994</v>
      </c>
      <c r="AN20">
        <v>89.4</v>
      </c>
      <c r="AO20">
        <v>89.075000000000003</v>
      </c>
      <c r="AP20">
        <v>88.75</v>
      </c>
      <c r="AQ20">
        <v>88.3</v>
      </c>
      <c r="AR20">
        <v>87.85</v>
      </c>
      <c r="AS20">
        <v>87.4</v>
      </c>
      <c r="AT20">
        <v>86.95</v>
      </c>
      <c r="AU20">
        <v>86.5</v>
      </c>
      <c r="AV20">
        <v>86.05</v>
      </c>
      <c r="AW20">
        <v>85.6</v>
      </c>
      <c r="AX20">
        <v>85.15</v>
      </c>
      <c r="AY20">
        <v>84.7</v>
      </c>
      <c r="AZ20">
        <v>84.25</v>
      </c>
      <c r="BA20">
        <v>83.775000000000006</v>
      </c>
      <c r="BB20">
        <v>83.3</v>
      </c>
      <c r="BC20">
        <v>82.825000000000003</v>
      </c>
      <c r="BD20">
        <v>82.35</v>
      </c>
      <c r="BE20">
        <v>81.875</v>
      </c>
      <c r="BF20">
        <v>81.400000000000006</v>
      </c>
      <c r="BG20">
        <v>80.924999999999997</v>
      </c>
      <c r="BH20">
        <v>80.45</v>
      </c>
      <c r="BI20">
        <v>79.975000000000094</v>
      </c>
      <c r="BJ20">
        <v>79.500000000000099</v>
      </c>
      <c r="BK20" s="675"/>
    </row>
    <row r="21" spans="1:63" x14ac:dyDescent="0.25">
      <c r="A21" s="24">
        <v>6000</v>
      </c>
      <c r="B21" s="15">
        <v>102</v>
      </c>
      <c r="C21">
        <v>101.6</v>
      </c>
      <c r="D21">
        <v>101.2</v>
      </c>
      <c r="E21">
        <v>100.8</v>
      </c>
      <c r="F21">
        <v>100.4</v>
      </c>
      <c r="G21">
        <v>100</v>
      </c>
      <c r="H21">
        <v>99.6</v>
      </c>
      <c r="I21">
        <v>99.2</v>
      </c>
      <c r="J21">
        <v>98.8</v>
      </c>
      <c r="K21">
        <v>98.399999999999906</v>
      </c>
      <c r="L21" s="18">
        <v>97.999999999999801</v>
      </c>
      <c r="M21">
        <v>97.599999999999696</v>
      </c>
      <c r="N21">
        <v>97.199999999999605</v>
      </c>
      <c r="O21">
        <v>96.7999999999995</v>
      </c>
      <c r="P21">
        <v>96.399999999999494</v>
      </c>
      <c r="Q21">
        <v>95.999999999999403</v>
      </c>
      <c r="R21">
        <v>95.599999999999298</v>
      </c>
      <c r="S21">
        <v>95.199999999999207</v>
      </c>
      <c r="T21">
        <v>94.799999999999102</v>
      </c>
      <c r="U21">
        <v>94.399999999998997</v>
      </c>
      <c r="V21" s="18">
        <v>93.999999999998906</v>
      </c>
      <c r="W21">
        <v>93.6</v>
      </c>
      <c r="X21">
        <v>93.2</v>
      </c>
      <c r="Y21">
        <v>92.8</v>
      </c>
      <c r="Z21">
        <v>92.4</v>
      </c>
      <c r="AA21">
        <v>92</v>
      </c>
      <c r="AB21">
        <v>91.6</v>
      </c>
      <c r="AC21">
        <v>91.2</v>
      </c>
      <c r="AD21">
        <v>90.8</v>
      </c>
      <c r="AE21">
        <v>90.4</v>
      </c>
      <c r="AF21" s="18">
        <v>89.999999999997996</v>
      </c>
      <c r="AG21">
        <v>89.7</v>
      </c>
      <c r="AH21">
        <v>89.400000000001995</v>
      </c>
      <c r="AI21">
        <v>89.100000000004002</v>
      </c>
      <c r="AJ21">
        <v>88.800000000005994</v>
      </c>
      <c r="AK21">
        <v>88.500000000008001</v>
      </c>
      <c r="AL21">
        <v>88.200000000009993</v>
      </c>
      <c r="AM21">
        <v>87.900000000012</v>
      </c>
      <c r="AN21">
        <v>87.600000000014006</v>
      </c>
      <c r="AO21">
        <v>87.300000000016098</v>
      </c>
      <c r="AP21" s="18">
        <v>87.000000000018105</v>
      </c>
      <c r="AQ21">
        <v>86.5</v>
      </c>
      <c r="AR21">
        <v>85.999999999981895</v>
      </c>
      <c r="AS21">
        <v>85.499999999963805</v>
      </c>
      <c r="AT21">
        <v>84.9999999999457</v>
      </c>
      <c r="AU21">
        <v>84.499999999927596</v>
      </c>
      <c r="AV21">
        <v>83.999999999909505</v>
      </c>
      <c r="AW21">
        <v>83.499999999891401</v>
      </c>
      <c r="AX21">
        <v>82.999999999873296</v>
      </c>
      <c r="AY21">
        <v>82.499999999855206</v>
      </c>
      <c r="AZ21" s="18">
        <v>81.999999999837101</v>
      </c>
      <c r="BA21">
        <v>81.5</v>
      </c>
      <c r="BB21" s="18">
        <v>81.000000000162899</v>
      </c>
      <c r="BC21">
        <v>80.500000000325798</v>
      </c>
      <c r="BD21" s="18">
        <v>80.000000000488697</v>
      </c>
      <c r="BE21">
        <v>79.500000000651596</v>
      </c>
      <c r="BF21" s="18">
        <v>79.000000000814495</v>
      </c>
      <c r="BG21">
        <v>78.500000000977394</v>
      </c>
      <c r="BH21" s="18">
        <v>78.000000001140293</v>
      </c>
      <c r="BI21">
        <v>77.500000001303206</v>
      </c>
      <c r="BJ21" s="18">
        <v>77.000000001466105</v>
      </c>
      <c r="BK21" s="675"/>
    </row>
    <row r="22" spans="1:63" x14ac:dyDescent="0.25">
      <c r="A22" s="11">
        <v>6500</v>
      </c>
      <c r="B22" s="5">
        <v>100</v>
      </c>
      <c r="C22">
        <v>99.6</v>
      </c>
      <c r="D22">
        <v>99.2</v>
      </c>
      <c r="E22">
        <v>98.8</v>
      </c>
      <c r="F22">
        <v>98.4</v>
      </c>
      <c r="G22">
        <v>98</v>
      </c>
      <c r="H22">
        <v>97.6</v>
      </c>
      <c r="I22">
        <v>97.2</v>
      </c>
      <c r="J22">
        <v>96.8</v>
      </c>
      <c r="K22">
        <v>96.399999999999906</v>
      </c>
      <c r="L22">
        <v>95.999999999999901</v>
      </c>
      <c r="M22">
        <v>95.599999999999895</v>
      </c>
      <c r="N22">
        <v>95.199999999999903</v>
      </c>
      <c r="O22">
        <v>94.799999999999898</v>
      </c>
      <c r="P22">
        <v>94.399999999999906</v>
      </c>
      <c r="Q22">
        <v>93.999999999999901</v>
      </c>
      <c r="R22">
        <v>93.599999999999895</v>
      </c>
      <c r="S22">
        <v>93.199999999999903</v>
      </c>
      <c r="T22">
        <v>92.799999999999898</v>
      </c>
      <c r="U22">
        <v>92.399999999999906</v>
      </c>
      <c r="V22">
        <v>91.999999999999901</v>
      </c>
      <c r="W22">
        <v>91.55</v>
      </c>
      <c r="X22">
        <v>91.1</v>
      </c>
      <c r="Y22">
        <v>90.65</v>
      </c>
      <c r="Z22">
        <v>90.2</v>
      </c>
      <c r="AA22">
        <v>89.75</v>
      </c>
      <c r="AB22">
        <v>89.3</v>
      </c>
      <c r="AC22">
        <v>88.85</v>
      </c>
      <c r="AD22">
        <v>88.4</v>
      </c>
      <c r="AE22">
        <v>87.95</v>
      </c>
      <c r="AF22">
        <v>87.5</v>
      </c>
      <c r="AG22">
        <v>87.15</v>
      </c>
      <c r="AH22">
        <v>86.8</v>
      </c>
      <c r="AI22">
        <v>86.45</v>
      </c>
      <c r="AJ22">
        <v>86.1</v>
      </c>
      <c r="AK22">
        <v>85.75</v>
      </c>
      <c r="AL22">
        <v>85.4</v>
      </c>
      <c r="AM22">
        <v>85.05</v>
      </c>
      <c r="AN22">
        <v>84.7</v>
      </c>
      <c r="AO22">
        <v>84.350000000000094</v>
      </c>
      <c r="AP22">
        <v>84.000000000000099</v>
      </c>
      <c r="AQ22">
        <v>83.474999999999994</v>
      </c>
      <c r="AR22">
        <v>82.949999999999903</v>
      </c>
      <c r="AS22">
        <v>82.424999999999798</v>
      </c>
      <c r="AT22">
        <v>81.899999999999693</v>
      </c>
      <c r="AU22">
        <v>81.374999999999602</v>
      </c>
      <c r="AV22">
        <v>80.849999999999497</v>
      </c>
      <c r="AW22">
        <v>80.324999999999406</v>
      </c>
      <c r="AX22">
        <v>79.799999999999301</v>
      </c>
      <c r="AY22">
        <v>79.274999999999196</v>
      </c>
      <c r="AZ22">
        <v>78.749999999999005</v>
      </c>
      <c r="BA22">
        <v>78.25</v>
      </c>
      <c r="BB22">
        <v>77.750000000000995</v>
      </c>
      <c r="BC22">
        <v>77.250000000002004</v>
      </c>
      <c r="BD22">
        <v>76.750000000002998</v>
      </c>
      <c r="BE22">
        <v>76.250000000003993</v>
      </c>
      <c r="BF22">
        <v>75.750000000005002</v>
      </c>
      <c r="BG22">
        <v>75.250000000005997</v>
      </c>
      <c r="BH22">
        <v>74.750000000007006</v>
      </c>
      <c r="BI22">
        <v>74.250000000008001</v>
      </c>
      <c r="BJ22">
        <v>73.750000000008995</v>
      </c>
      <c r="BK22" s="675"/>
    </row>
    <row r="23" spans="1:63" x14ac:dyDescent="0.25">
      <c r="A23" s="11">
        <v>7000</v>
      </c>
      <c r="B23" s="5">
        <v>98</v>
      </c>
      <c r="C23">
        <v>97.6</v>
      </c>
      <c r="D23">
        <v>97.2</v>
      </c>
      <c r="E23">
        <v>96.8</v>
      </c>
      <c r="F23">
        <v>96.4</v>
      </c>
      <c r="G23">
        <v>96</v>
      </c>
      <c r="H23">
        <v>95.6</v>
      </c>
      <c r="I23">
        <v>95.2</v>
      </c>
      <c r="J23">
        <v>94.8</v>
      </c>
      <c r="K23">
        <v>94.399999999999906</v>
      </c>
      <c r="L23">
        <v>93.999999999999801</v>
      </c>
      <c r="M23">
        <v>93.599999999999696</v>
      </c>
      <c r="N23">
        <v>93.199999999999605</v>
      </c>
      <c r="O23">
        <v>92.7999999999995</v>
      </c>
      <c r="P23">
        <v>92.399999999999494</v>
      </c>
      <c r="Q23">
        <v>91.999999999999403</v>
      </c>
      <c r="R23">
        <v>91.599999999999298</v>
      </c>
      <c r="S23">
        <v>91.199999999999207</v>
      </c>
      <c r="T23">
        <v>90.799999999999102</v>
      </c>
      <c r="U23">
        <v>90.399999999998997</v>
      </c>
      <c r="V23">
        <v>89.999999999998906</v>
      </c>
      <c r="W23">
        <v>89.5</v>
      </c>
      <c r="X23">
        <v>89</v>
      </c>
      <c r="Y23">
        <v>88.5</v>
      </c>
      <c r="Z23">
        <v>88</v>
      </c>
      <c r="AA23">
        <v>87.5</v>
      </c>
      <c r="AB23">
        <v>87</v>
      </c>
      <c r="AC23">
        <v>86.5</v>
      </c>
      <c r="AD23">
        <v>86</v>
      </c>
      <c r="AE23">
        <v>85.5</v>
      </c>
      <c r="AF23">
        <v>85</v>
      </c>
      <c r="AG23">
        <v>84.6</v>
      </c>
      <c r="AH23">
        <v>84.2</v>
      </c>
      <c r="AI23">
        <v>83.8</v>
      </c>
      <c r="AJ23">
        <v>83.4</v>
      </c>
      <c r="AK23">
        <v>83</v>
      </c>
      <c r="AL23">
        <v>82.6</v>
      </c>
      <c r="AM23">
        <v>82.2</v>
      </c>
      <c r="AN23">
        <v>81.8</v>
      </c>
      <c r="AO23">
        <v>81.399999999999906</v>
      </c>
      <c r="AP23">
        <v>81</v>
      </c>
      <c r="AQ23">
        <v>80.45</v>
      </c>
      <c r="AR23">
        <v>79.900000000000006</v>
      </c>
      <c r="AS23">
        <v>79.349999999999994</v>
      </c>
      <c r="AT23">
        <v>78.8</v>
      </c>
      <c r="AU23">
        <v>78.25</v>
      </c>
      <c r="AV23">
        <v>77.7</v>
      </c>
      <c r="AW23">
        <v>77.150000000000006</v>
      </c>
      <c r="AX23">
        <v>76.599999999999994</v>
      </c>
      <c r="AY23">
        <v>76.05</v>
      </c>
      <c r="AZ23">
        <v>75.5</v>
      </c>
      <c r="BA23">
        <v>75</v>
      </c>
      <c r="BB23">
        <v>74.5</v>
      </c>
      <c r="BC23">
        <v>74</v>
      </c>
      <c r="BD23">
        <v>73.5</v>
      </c>
      <c r="BE23">
        <v>73</v>
      </c>
      <c r="BF23">
        <v>72.5</v>
      </c>
      <c r="BG23">
        <v>72</v>
      </c>
      <c r="BH23">
        <v>71.5</v>
      </c>
      <c r="BI23">
        <v>71</v>
      </c>
      <c r="BJ23">
        <v>70.5</v>
      </c>
      <c r="BK23" s="675"/>
    </row>
    <row r="24" spans="1:63" x14ac:dyDescent="0.25">
      <c r="A24" s="11">
        <v>7500</v>
      </c>
      <c r="B24" s="5">
        <v>96</v>
      </c>
      <c r="C24">
        <v>95.6</v>
      </c>
      <c r="D24">
        <v>95.2</v>
      </c>
      <c r="E24">
        <v>94.8</v>
      </c>
      <c r="F24">
        <v>94.4</v>
      </c>
      <c r="G24">
        <v>94</v>
      </c>
      <c r="H24">
        <v>93.6</v>
      </c>
      <c r="I24">
        <v>93.2</v>
      </c>
      <c r="J24">
        <v>92.8</v>
      </c>
      <c r="K24">
        <v>92.399999999999906</v>
      </c>
      <c r="L24">
        <v>91.999999999999801</v>
      </c>
      <c r="M24">
        <v>91.599999999999696</v>
      </c>
      <c r="N24">
        <v>91.199999999999605</v>
      </c>
      <c r="O24">
        <v>90.7999999999995</v>
      </c>
      <c r="P24">
        <v>90.399999999999494</v>
      </c>
      <c r="Q24">
        <v>89.999999999999403</v>
      </c>
      <c r="R24">
        <v>89.599999999999298</v>
      </c>
      <c r="S24">
        <v>89.199999999999207</v>
      </c>
      <c r="T24">
        <v>88.799999999999102</v>
      </c>
      <c r="U24">
        <v>88.399999999998997</v>
      </c>
      <c r="V24">
        <v>87.999999999998906</v>
      </c>
      <c r="W24">
        <v>87.45</v>
      </c>
      <c r="X24">
        <v>86.9</v>
      </c>
      <c r="Y24">
        <v>86.35</v>
      </c>
      <c r="Z24">
        <v>85.8</v>
      </c>
      <c r="AA24">
        <v>85.25</v>
      </c>
      <c r="AB24">
        <v>84.7</v>
      </c>
      <c r="AC24">
        <v>84.15</v>
      </c>
      <c r="AD24">
        <v>83.6</v>
      </c>
      <c r="AE24">
        <v>83.05</v>
      </c>
      <c r="AF24">
        <v>82.5</v>
      </c>
      <c r="AG24">
        <v>82.05</v>
      </c>
      <c r="AH24">
        <v>81.599999999999994</v>
      </c>
      <c r="AI24">
        <v>81.150000000000006</v>
      </c>
      <c r="AJ24">
        <v>80.7</v>
      </c>
      <c r="AK24">
        <v>80.25</v>
      </c>
      <c r="AL24">
        <v>79.8</v>
      </c>
      <c r="AM24">
        <v>79.349999999999994</v>
      </c>
      <c r="AN24">
        <v>78.900000000000006</v>
      </c>
      <c r="AO24">
        <v>78.45</v>
      </c>
      <c r="AP24">
        <v>78</v>
      </c>
      <c r="AQ24">
        <v>77.424999999999997</v>
      </c>
      <c r="AR24">
        <v>76.849999999999994</v>
      </c>
      <c r="AS24">
        <v>76.275000000000006</v>
      </c>
      <c r="AT24">
        <v>75.7</v>
      </c>
      <c r="AU24">
        <v>75.125</v>
      </c>
      <c r="AV24">
        <v>74.55</v>
      </c>
      <c r="AW24">
        <v>73.974999999999994</v>
      </c>
      <c r="AX24">
        <v>73.400000000000006</v>
      </c>
      <c r="AY24">
        <v>72.825000000000003</v>
      </c>
      <c r="AZ24">
        <v>72.25</v>
      </c>
      <c r="BA24">
        <v>71.75</v>
      </c>
      <c r="BB24">
        <v>71.25</v>
      </c>
      <c r="BC24">
        <v>70.75</v>
      </c>
      <c r="BD24">
        <v>70.25</v>
      </c>
      <c r="BE24">
        <v>69.75</v>
      </c>
      <c r="BF24">
        <v>69.25</v>
      </c>
      <c r="BG24">
        <v>68.75</v>
      </c>
      <c r="BH24">
        <v>68.25</v>
      </c>
      <c r="BI24">
        <v>67.75</v>
      </c>
      <c r="BJ24">
        <v>67.25</v>
      </c>
      <c r="BK24" s="675"/>
    </row>
    <row r="25" spans="1:63" x14ac:dyDescent="0.25">
      <c r="A25" s="24">
        <v>8000</v>
      </c>
      <c r="B25" s="15">
        <v>94</v>
      </c>
      <c r="C25">
        <v>93.6</v>
      </c>
      <c r="D25">
        <v>93.2</v>
      </c>
      <c r="E25">
        <v>92.8</v>
      </c>
      <c r="F25">
        <v>92.4</v>
      </c>
      <c r="G25">
        <v>92</v>
      </c>
      <c r="H25">
        <v>91.6</v>
      </c>
      <c r="I25">
        <v>91.2</v>
      </c>
      <c r="J25">
        <v>90.8</v>
      </c>
      <c r="K25">
        <v>90.4</v>
      </c>
      <c r="L25" s="18">
        <v>90</v>
      </c>
      <c r="M25">
        <v>89.6</v>
      </c>
      <c r="N25">
        <v>89.2</v>
      </c>
      <c r="O25">
        <v>88.8</v>
      </c>
      <c r="P25">
        <v>88.4</v>
      </c>
      <c r="Q25">
        <v>88</v>
      </c>
      <c r="R25">
        <v>87.6</v>
      </c>
      <c r="S25">
        <v>87.199999999999903</v>
      </c>
      <c r="T25">
        <v>86.799999999999898</v>
      </c>
      <c r="U25">
        <v>86.399999999999906</v>
      </c>
      <c r="V25" s="18">
        <v>85.999999999999901</v>
      </c>
      <c r="W25">
        <v>85.4</v>
      </c>
      <c r="X25">
        <v>84.8</v>
      </c>
      <c r="Y25">
        <v>84.2</v>
      </c>
      <c r="Z25">
        <v>83.6</v>
      </c>
      <c r="AA25">
        <v>83</v>
      </c>
      <c r="AB25">
        <v>82.4</v>
      </c>
      <c r="AC25">
        <v>81.8</v>
      </c>
      <c r="AD25">
        <v>81.2</v>
      </c>
      <c r="AE25">
        <v>80.599999999999994</v>
      </c>
      <c r="AF25" s="18">
        <v>80</v>
      </c>
      <c r="AG25">
        <v>79.5</v>
      </c>
      <c r="AH25">
        <v>79</v>
      </c>
      <c r="AI25">
        <v>78.5</v>
      </c>
      <c r="AJ25">
        <v>78</v>
      </c>
      <c r="AK25">
        <v>77.5</v>
      </c>
      <c r="AL25">
        <v>77</v>
      </c>
      <c r="AM25">
        <v>76.5</v>
      </c>
      <c r="AN25">
        <v>76</v>
      </c>
      <c r="AO25">
        <v>75.5</v>
      </c>
      <c r="AP25" s="18">
        <v>75</v>
      </c>
      <c r="AQ25">
        <v>74.400000000000006</v>
      </c>
      <c r="AR25">
        <v>73.8</v>
      </c>
      <c r="AS25">
        <v>73.2</v>
      </c>
      <c r="AT25">
        <v>72.599999999999994</v>
      </c>
      <c r="AU25">
        <v>72</v>
      </c>
      <c r="AV25">
        <v>71.400000000000006</v>
      </c>
      <c r="AW25">
        <v>70.8</v>
      </c>
      <c r="AX25">
        <v>70.2</v>
      </c>
      <c r="AY25">
        <v>69.600000000000094</v>
      </c>
      <c r="AZ25" s="18">
        <v>69.000000000000099</v>
      </c>
      <c r="BA25">
        <v>68.5</v>
      </c>
      <c r="BB25" s="18">
        <v>67.999999999999901</v>
      </c>
      <c r="BC25">
        <v>67.499999999999801</v>
      </c>
      <c r="BD25" s="18">
        <v>66.999999999999702</v>
      </c>
      <c r="BE25">
        <v>66.499999999999602</v>
      </c>
      <c r="BF25" s="18">
        <v>65.999999999999503</v>
      </c>
      <c r="BG25">
        <v>65.499999999999403</v>
      </c>
      <c r="BH25" s="18">
        <v>64.999999999999304</v>
      </c>
      <c r="BI25">
        <v>64.499999999999204</v>
      </c>
      <c r="BJ25" s="18">
        <v>63.999999999999098</v>
      </c>
      <c r="BK25" s="675"/>
    </row>
    <row r="26" spans="1:63" ht="15" customHeight="1" x14ac:dyDescent="0.25">
      <c r="A26" s="11">
        <v>8500</v>
      </c>
      <c r="B26" s="5">
        <v>92</v>
      </c>
      <c r="C26">
        <v>91.55</v>
      </c>
      <c r="D26">
        <v>91.1</v>
      </c>
      <c r="E26">
        <v>90.65</v>
      </c>
      <c r="F26">
        <v>90.2</v>
      </c>
      <c r="G26">
        <v>89.75</v>
      </c>
      <c r="H26">
        <v>89.3</v>
      </c>
      <c r="I26">
        <v>88.85</v>
      </c>
      <c r="J26">
        <v>88.4</v>
      </c>
      <c r="K26">
        <v>87.95</v>
      </c>
      <c r="L26">
        <v>87.5</v>
      </c>
      <c r="M26">
        <v>87.05</v>
      </c>
      <c r="N26">
        <v>86.6</v>
      </c>
      <c r="O26">
        <v>86.15</v>
      </c>
      <c r="P26">
        <v>85.7</v>
      </c>
      <c r="Q26">
        <v>85.25</v>
      </c>
      <c r="R26">
        <v>84.8</v>
      </c>
      <c r="S26">
        <v>84.35</v>
      </c>
      <c r="T26">
        <v>83.9</v>
      </c>
      <c r="U26">
        <v>83.45</v>
      </c>
      <c r="V26">
        <v>83</v>
      </c>
      <c r="W26">
        <v>82.4</v>
      </c>
      <c r="X26">
        <v>81.8</v>
      </c>
      <c r="Y26">
        <v>81.2</v>
      </c>
      <c r="Z26">
        <v>80.599999999999994</v>
      </c>
      <c r="AA26">
        <v>80</v>
      </c>
      <c r="AB26">
        <v>79.400000000000006</v>
      </c>
      <c r="AC26">
        <v>78.8</v>
      </c>
      <c r="AD26">
        <v>78.2</v>
      </c>
      <c r="AE26">
        <v>77.600000000000094</v>
      </c>
      <c r="AF26">
        <v>77.000000000000099</v>
      </c>
      <c r="AG26">
        <v>76.474999999999994</v>
      </c>
      <c r="AH26">
        <v>75.949999999999903</v>
      </c>
      <c r="AI26">
        <v>75.424999999999798</v>
      </c>
      <c r="AJ26">
        <v>74.899999999999693</v>
      </c>
      <c r="AK26">
        <v>74.374999999999602</v>
      </c>
      <c r="AL26">
        <v>73.849999999999497</v>
      </c>
      <c r="AM26">
        <v>73.324999999999406</v>
      </c>
      <c r="AN26">
        <v>72.799999999999301</v>
      </c>
      <c r="AO26">
        <v>72.274999999999196</v>
      </c>
      <c r="AP26">
        <v>71.749999999999005</v>
      </c>
      <c r="AQ26">
        <v>71.174999999999997</v>
      </c>
      <c r="AR26">
        <v>70.600000000001003</v>
      </c>
      <c r="AS26">
        <v>70.025000000001995</v>
      </c>
      <c r="AT26">
        <v>69.450000000003001</v>
      </c>
      <c r="AU26">
        <v>68.875000000003993</v>
      </c>
      <c r="AV26">
        <v>68.300000000004999</v>
      </c>
      <c r="AW26">
        <v>67.725000000005906</v>
      </c>
      <c r="AX26">
        <v>67.150000000006898</v>
      </c>
      <c r="AY26">
        <v>66.575000000007904</v>
      </c>
      <c r="AZ26">
        <v>66.000000000008896</v>
      </c>
      <c r="BA26">
        <v>65.474999999999994</v>
      </c>
      <c r="BB26">
        <v>64.949999999991107</v>
      </c>
      <c r="BC26">
        <v>64.424999999982205</v>
      </c>
      <c r="BD26">
        <v>63.899999999973303</v>
      </c>
      <c r="BE26">
        <v>63.374999999964402</v>
      </c>
      <c r="BF26">
        <v>62.8499999999555</v>
      </c>
      <c r="BG26">
        <v>62.324999999946598</v>
      </c>
      <c r="BH26">
        <v>61.799999999937697</v>
      </c>
      <c r="BI26">
        <v>61.274999999928802</v>
      </c>
      <c r="BJ26">
        <v>60.749999999919901</v>
      </c>
      <c r="BK26" s="675"/>
    </row>
    <row r="27" spans="1:63" x14ac:dyDescent="0.25">
      <c r="A27" s="11">
        <v>9000</v>
      </c>
      <c r="B27" s="5">
        <v>90</v>
      </c>
      <c r="C27">
        <v>89.5</v>
      </c>
      <c r="D27">
        <v>89</v>
      </c>
      <c r="E27">
        <v>88.5</v>
      </c>
      <c r="F27">
        <v>88</v>
      </c>
      <c r="G27">
        <v>87.5</v>
      </c>
      <c r="H27">
        <v>87</v>
      </c>
      <c r="I27">
        <v>86.5</v>
      </c>
      <c r="J27">
        <v>86</v>
      </c>
      <c r="K27">
        <v>85.5</v>
      </c>
      <c r="L27">
        <v>85</v>
      </c>
      <c r="M27">
        <v>84.5</v>
      </c>
      <c r="N27">
        <v>84</v>
      </c>
      <c r="O27">
        <v>83.5</v>
      </c>
      <c r="P27">
        <v>83</v>
      </c>
      <c r="Q27">
        <v>82.5</v>
      </c>
      <c r="R27">
        <v>82</v>
      </c>
      <c r="S27">
        <v>81.5</v>
      </c>
      <c r="T27">
        <v>81</v>
      </c>
      <c r="U27">
        <v>80.5</v>
      </c>
      <c r="V27">
        <v>80</v>
      </c>
      <c r="W27">
        <v>79.400000000000006</v>
      </c>
      <c r="X27">
        <v>78.8</v>
      </c>
      <c r="Y27">
        <v>78.2</v>
      </c>
      <c r="Z27">
        <v>77.599999999999994</v>
      </c>
      <c r="AA27">
        <v>77</v>
      </c>
      <c r="AB27">
        <v>76.400000000000006</v>
      </c>
      <c r="AC27">
        <v>75.8</v>
      </c>
      <c r="AD27">
        <v>75.2</v>
      </c>
      <c r="AE27">
        <v>74.600000000000094</v>
      </c>
      <c r="AF27">
        <v>74.000000000000099</v>
      </c>
      <c r="AG27">
        <v>73.45</v>
      </c>
      <c r="AH27">
        <v>72.899999999999906</v>
      </c>
      <c r="AI27">
        <v>72.349999999999795</v>
      </c>
      <c r="AJ27">
        <v>71.799999999999699</v>
      </c>
      <c r="AK27">
        <v>71.249999999999602</v>
      </c>
      <c r="AL27">
        <v>70.699999999999505</v>
      </c>
      <c r="AM27">
        <v>70.149999999999395</v>
      </c>
      <c r="AN27">
        <v>69.599999999999298</v>
      </c>
      <c r="AO27">
        <v>69.049999999999201</v>
      </c>
      <c r="AP27">
        <v>68.499999999999105</v>
      </c>
      <c r="AQ27">
        <v>67.95</v>
      </c>
      <c r="AR27">
        <v>67.400000000000901</v>
      </c>
      <c r="AS27">
        <v>66.850000000001799</v>
      </c>
      <c r="AT27">
        <v>66.300000000002697</v>
      </c>
      <c r="AU27">
        <v>65.750000000003595</v>
      </c>
      <c r="AV27">
        <v>65.200000000004493</v>
      </c>
      <c r="AW27">
        <v>64.650000000005406</v>
      </c>
      <c r="AX27">
        <v>64.100000000006304</v>
      </c>
      <c r="AY27">
        <v>63.550000000007202</v>
      </c>
      <c r="AZ27">
        <v>63.0000000000081</v>
      </c>
      <c r="BA27">
        <v>62.45</v>
      </c>
      <c r="BB27">
        <v>61.899999999991898</v>
      </c>
      <c r="BC27">
        <v>61.349999999983801</v>
      </c>
      <c r="BD27">
        <v>60.799999999975697</v>
      </c>
      <c r="BE27">
        <v>60.249999999967599</v>
      </c>
      <c r="BF27">
        <v>59.699999999959502</v>
      </c>
      <c r="BG27">
        <v>59.149999999951397</v>
      </c>
      <c r="BH27">
        <v>58.5999999999433</v>
      </c>
      <c r="BI27">
        <v>58.049999999935203</v>
      </c>
      <c r="BJ27">
        <v>57.499999999927098</v>
      </c>
      <c r="BK27" s="675"/>
    </row>
    <row r="28" spans="1:63" x14ac:dyDescent="0.25">
      <c r="A28" s="11">
        <v>9500</v>
      </c>
      <c r="B28" s="5">
        <v>88</v>
      </c>
      <c r="C28">
        <v>87.45</v>
      </c>
      <c r="D28">
        <v>86.9</v>
      </c>
      <c r="E28">
        <v>86.35</v>
      </c>
      <c r="F28">
        <v>85.8</v>
      </c>
      <c r="G28">
        <v>85.25</v>
      </c>
      <c r="H28">
        <v>84.7</v>
      </c>
      <c r="I28">
        <v>84.15</v>
      </c>
      <c r="J28">
        <v>83.6</v>
      </c>
      <c r="K28">
        <v>83.05</v>
      </c>
      <c r="L28">
        <v>82.5</v>
      </c>
      <c r="M28">
        <v>81.95</v>
      </c>
      <c r="N28">
        <v>81.400000000000006</v>
      </c>
      <c r="O28">
        <v>80.849999999999994</v>
      </c>
      <c r="P28">
        <v>80.3</v>
      </c>
      <c r="Q28">
        <v>79.75</v>
      </c>
      <c r="R28">
        <v>79.2</v>
      </c>
      <c r="S28">
        <v>78.650000000000006</v>
      </c>
      <c r="T28">
        <v>78.099999999999994</v>
      </c>
      <c r="U28">
        <v>77.55</v>
      </c>
      <c r="V28">
        <v>77</v>
      </c>
      <c r="W28">
        <v>76.430000000000007</v>
      </c>
      <c r="X28">
        <v>75.86</v>
      </c>
      <c r="Y28">
        <v>75.290000000000006</v>
      </c>
      <c r="Z28">
        <v>74.72</v>
      </c>
      <c r="AA28">
        <v>74.150000000000006</v>
      </c>
      <c r="AB28">
        <v>73.58</v>
      </c>
      <c r="AC28">
        <v>73.010000000000005</v>
      </c>
      <c r="AD28">
        <v>72.440000000000097</v>
      </c>
      <c r="AE28">
        <v>71.870000000000104</v>
      </c>
      <c r="AF28">
        <v>71.300000000000097</v>
      </c>
      <c r="AG28">
        <v>70.694999999999993</v>
      </c>
      <c r="AH28">
        <v>70.089999999999904</v>
      </c>
      <c r="AI28">
        <v>69.4849999999998</v>
      </c>
      <c r="AJ28">
        <v>68.879999999999697</v>
      </c>
      <c r="AK28">
        <v>68.274999999999594</v>
      </c>
      <c r="AL28">
        <v>67.669999999999504</v>
      </c>
      <c r="AM28">
        <v>67.064999999999401</v>
      </c>
      <c r="AN28">
        <v>66.459999999999297</v>
      </c>
      <c r="AO28">
        <v>65.854999999999194</v>
      </c>
      <c r="AP28">
        <v>65.249999999999105</v>
      </c>
      <c r="AQ28">
        <v>64.724999999999994</v>
      </c>
      <c r="AR28">
        <v>64.200000000000898</v>
      </c>
      <c r="AS28">
        <v>63.675000000001802</v>
      </c>
      <c r="AT28">
        <v>63.150000000002699</v>
      </c>
      <c r="AU28">
        <v>62.625000000003602</v>
      </c>
      <c r="AV28">
        <v>62.1000000000044</v>
      </c>
      <c r="AW28">
        <v>61.575000000005303</v>
      </c>
      <c r="AX28">
        <v>61.0500000000062</v>
      </c>
      <c r="AY28">
        <v>60.525000000007097</v>
      </c>
      <c r="AZ28">
        <v>60.000000000008001</v>
      </c>
      <c r="BA28">
        <v>59.424999999999997</v>
      </c>
      <c r="BB28">
        <v>58.849999999992697</v>
      </c>
      <c r="BC28">
        <v>58.274999999985397</v>
      </c>
      <c r="BD28">
        <v>57.699999999978097</v>
      </c>
      <c r="BE28">
        <v>57.124999999970797</v>
      </c>
      <c r="BF28">
        <v>56.549999999963497</v>
      </c>
      <c r="BG28" t="s">
        <v>275</v>
      </c>
      <c r="BH28" t="s">
        <v>275</v>
      </c>
      <c r="BI28" t="s">
        <v>275</v>
      </c>
      <c r="BJ28" s="6" t="s">
        <v>275</v>
      </c>
      <c r="BK28" s="675"/>
    </row>
    <row r="29" spans="1:63" x14ac:dyDescent="0.25">
      <c r="A29" s="24">
        <v>10000</v>
      </c>
      <c r="B29" s="15">
        <v>86</v>
      </c>
      <c r="C29">
        <v>85.4</v>
      </c>
      <c r="D29">
        <v>84.8</v>
      </c>
      <c r="E29">
        <v>84.2</v>
      </c>
      <c r="F29">
        <v>83.6</v>
      </c>
      <c r="G29">
        <v>83</v>
      </c>
      <c r="H29">
        <v>82.4</v>
      </c>
      <c r="I29">
        <v>81.8</v>
      </c>
      <c r="J29">
        <v>81.2</v>
      </c>
      <c r="K29">
        <v>80.599999999999994</v>
      </c>
      <c r="L29" s="18">
        <v>80</v>
      </c>
      <c r="M29">
        <v>79.400000000000006</v>
      </c>
      <c r="N29">
        <v>78.8</v>
      </c>
      <c r="O29">
        <v>78.2</v>
      </c>
      <c r="P29">
        <v>77.599999999999994</v>
      </c>
      <c r="Q29">
        <v>77</v>
      </c>
      <c r="R29">
        <v>76.400000000000006</v>
      </c>
      <c r="S29">
        <v>75.800000000000097</v>
      </c>
      <c r="T29">
        <v>75.200000000000102</v>
      </c>
      <c r="U29">
        <v>74.600000000000094</v>
      </c>
      <c r="V29" s="18">
        <v>74.000000000000099</v>
      </c>
      <c r="W29">
        <v>73.400000000000006</v>
      </c>
      <c r="X29">
        <v>72.799999999999898</v>
      </c>
      <c r="Y29">
        <v>72.199999999999804</v>
      </c>
      <c r="Z29">
        <v>71.599999999999696</v>
      </c>
      <c r="AA29">
        <v>70.999999999999602</v>
      </c>
      <c r="AB29">
        <v>70.399999999999494</v>
      </c>
      <c r="AC29">
        <v>69.7999999999994</v>
      </c>
      <c r="AD29">
        <v>69.199999999999307</v>
      </c>
      <c r="AE29">
        <v>68.599999999999298</v>
      </c>
      <c r="AF29" s="18">
        <v>67.999999999999204</v>
      </c>
      <c r="AG29">
        <v>67.400000000000006</v>
      </c>
      <c r="AH29">
        <v>66.800000000000793</v>
      </c>
      <c r="AI29">
        <v>66.200000000001594</v>
      </c>
      <c r="AJ29">
        <v>65.600000000002396</v>
      </c>
      <c r="AK29">
        <v>65.000000000003197</v>
      </c>
      <c r="AL29">
        <v>64.400000000003999</v>
      </c>
      <c r="AM29">
        <v>63.8000000000048</v>
      </c>
      <c r="AN29">
        <v>63.200000000005602</v>
      </c>
      <c r="AO29">
        <v>62.600000000006403</v>
      </c>
      <c r="AP29" s="18">
        <v>62.000000000007198</v>
      </c>
      <c r="AQ29">
        <v>61.5</v>
      </c>
      <c r="AR29">
        <v>60.999999999992802</v>
      </c>
      <c r="AS29">
        <v>60.499999999985597</v>
      </c>
      <c r="AT29">
        <v>59.9999999999784</v>
      </c>
      <c r="AU29">
        <v>59.499999999971202</v>
      </c>
      <c r="AV29">
        <v>58.999999999963997</v>
      </c>
      <c r="AW29">
        <v>58.499999999956799</v>
      </c>
      <c r="AX29">
        <v>57.999999999949601</v>
      </c>
      <c r="AY29">
        <v>57.499999999942403</v>
      </c>
      <c r="AZ29" s="18">
        <v>57</v>
      </c>
      <c r="BA29" t="s">
        <v>275</v>
      </c>
      <c r="BB29" t="s">
        <v>275</v>
      </c>
      <c r="BC29" t="s">
        <v>275</v>
      </c>
      <c r="BD29" t="s">
        <v>275</v>
      </c>
      <c r="BE29" t="s">
        <v>275</v>
      </c>
      <c r="BF29" t="s">
        <v>275</v>
      </c>
      <c r="BG29" t="s">
        <v>275</v>
      </c>
      <c r="BH29" t="s">
        <v>275</v>
      </c>
      <c r="BI29" t="s">
        <v>275</v>
      </c>
      <c r="BJ29" s="21" t="s">
        <v>275</v>
      </c>
      <c r="BK29" s="675"/>
    </row>
    <row r="30" spans="1:63" x14ac:dyDescent="0.25">
      <c r="A30" s="11">
        <v>10500</v>
      </c>
      <c r="B30" s="5">
        <v>83</v>
      </c>
      <c r="C30">
        <v>82.375</v>
      </c>
      <c r="D30">
        <v>81.75</v>
      </c>
      <c r="E30">
        <v>81.125</v>
      </c>
      <c r="F30">
        <v>80.5</v>
      </c>
      <c r="G30">
        <v>79.875</v>
      </c>
      <c r="H30">
        <v>79.25</v>
      </c>
      <c r="I30">
        <v>78.625</v>
      </c>
      <c r="J30">
        <v>78</v>
      </c>
      <c r="K30">
        <v>77.375</v>
      </c>
      <c r="L30">
        <v>76.75</v>
      </c>
      <c r="M30">
        <v>76.150000000000006</v>
      </c>
      <c r="N30">
        <v>75.55</v>
      </c>
      <c r="O30">
        <v>74.95</v>
      </c>
      <c r="P30">
        <v>74.349999999999994</v>
      </c>
      <c r="Q30">
        <v>73.75</v>
      </c>
      <c r="R30">
        <v>73.150000000000006</v>
      </c>
      <c r="S30">
        <v>72.55</v>
      </c>
      <c r="T30">
        <v>71.95</v>
      </c>
      <c r="U30">
        <v>71.350000000000094</v>
      </c>
      <c r="V30">
        <v>70.750000000000099</v>
      </c>
      <c r="W30">
        <v>70.144999999999996</v>
      </c>
      <c r="X30">
        <v>69.539999999999907</v>
      </c>
      <c r="Y30">
        <v>68.934999999999803</v>
      </c>
      <c r="Z30">
        <v>68.3299999999997</v>
      </c>
      <c r="AA30">
        <v>67.724999999999596</v>
      </c>
      <c r="AB30">
        <v>67.119999999999493</v>
      </c>
      <c r="AC30">
        <v>66.514999999999404</v>
      </c>
      <c r="AD30">
        <v>65.9099999999993</v>
      </c>
      <c r="AE30">
        <v>65.304999999999197</v>
      </c>
      <c r="AF30">
        <v>64.699999999999093</v>
      </c>
      <c r="AG30">
        <v>64.105000000000004</v>
      </c>
      <c r="AH30">
        <v>63.5100000000009</v>
      </c>
      <c r="AI30">
        <v>62.915000000001797</v>
      </c>
      <c r="AJ30">
        <v>62.3200000000027</v>
      </c>
      <c r="AK30">
        <v>61.725000000003597</v>
      </c>
      <c r="AL30">
        <v>61.1300000000046</v>
      </c>
      <c r="AM30">
        <v>60.535000000005503</v>
      </c>
      <c r="AN30">
        <v>59.9400000000064</v>
      </c>
      <c r="AO30">
        <v>59.345000000007303</v>
      </c>
      <c r="AP30">
        <v>58.7500000000082</v>
      </c>
      <c r="AQ30">
        <v>58.274999999999999</v>
      </c>
      <c r="AR30">
        <v>57.799999999984699</v>
      </c>
      <c r="AS30">
        <v>57.3249999999694</v>
      </c>
      <c r="AT30">
        <v>56.8499999999541</v>
      </c>
      <c r="AU30" t="s">
        <v>275</v>
      </c>
      <c r="AV30" t="s">
        <v>275</v>
      </c>
      <c r="AW30" t="s">
        <v>275</v>
      </c>
      <c r="AX30" t="s">
        <v>275</v>
      </c>
      <c r="AY30" t="s">
        <v>275</v>
      </c>
      <c r="AZ30" t="s">
        <v>275</v>
      </c>
      <c r="BA30" t="s">
        <v>275</v>
      </c>
      <c r="BB30" t="s">
        <v>275</v>
      </c>
      <c r="BC30" t="s">
        <v>275</v>
      </c>
      <c r="BD30" t="s">
        <v>275</v>
      </c>
      <c r="BE30" t="s">
        <v>275</v>
      </c>
      <c r="BF30" t="s">
        <v>275</v>
      </c>
      <c r="BG30" t="s">
        <v>275</v>
      </c>
      <c r="BH30" t="s">
        <v>275</v>
      </c>
      <c r="BI30" t="s">
        <v>275</v>
      </c>
      <c r="BJ30" s="6" t="s">
        <v>275</v>
      </c>
      <c r="BK30" s="675"/>
    </row>
    <row r="31" spans="1:63" x14ac:dyDescent="0.25">
      <c r="A31" s="11">
        <v>11000</v>
      </c>
      <c r="B31" s="5">
        <v>80</v>
      </c>
      <c r="C31">
        <v>79.349999999999994</v>
      </c>
      <c r="D31">
        <v>78.7</v>
      </c>
      <c r="E31">
        <v>78.05</v>
      </c>
      <c r="F31">
        <v>77.400000000000006</v>
      </c>
      <c r="G31">
        <v>76.75</v>
      </c>
      <c r="H31">
        <v>76.099999999999994</v>
      </c>
      <c r="I31">
        <v>75.45</v>
      </c>
      <c r="J31">
        <v>74.8</v>
      </c>
      <c r="K31">
        <v>74.149999999999906</v>
      </c>
      <c r="L31">
        <v>73.5</v>
      </c>
      <c r="M31">
        <v>72.900000000000006</v>
      </c>
      <c r="N31">
        <v>72.3</v>
      </c>
      <c r="O31">
        <v>71.7</v>
      </c>
      <c r="P31">
        <v>71.099999999999994</v>
      </c>
      <c r="Q31">
        <v>70.5</v>
      </c>
      <c r="R31">
        <v>69.900000000000006</v>
      </c>
      <c r="S31">
        <v>69.3</v>
      </c>
      <c r="T31">
        <v>68.7</v>
      </c>
      <c r="U31">
        <v>68.100000000000094</v>
      </c>
      <c r="V31">
        <v>67.500000000000099</v>
      </c>
      <c r="W31">
        <v>66.89</v>
      </c>
      <c r="X31">
        <v>66.279999999999902</v>
      </c>
      <c r="Y31">
        <v>65.669999999999803</v>
      </c>
      <c r="Z31">
        <v>65.059999999999704</v>
      </c>
      <c r="AA31">
        <v>64.449999999999605</v>
      </c>
      <c r="AB31">
        <v>63.839999999999499</v>
      </c>
      <c r="AC31">
        <v>63.2299999999994</v>
      </c>
      <c r="AD31">
        <v>62.619999999999301</v>
      </c>
      <c r="AE31">
        <v>62.009999999999202</v>
      </c>
      <c r="AF31">
        <v>61.399999999999103</v>
      </c>
      <c r="AG31">
        <v>60.81</v>
      </c>
      <c r="AH31">
        <v>60.220000000001001</v>
      </c>
      <c r="AI31">
        <v>59.630000000001999</v>
      </c>
      <c r="AJ31">
        <v>59.040000000002998</v>
      </c>
      <c r="AK31">
        <v>58.450000000004003</v>
      </c>
      <c r="AL31">
        <v>61.1300000000046</v>
      </c>
      <c r="AM31">
        <v>57.270000000006199</v>
      </c>
      <c r="AN31">
        <v>56.680000000007198</v>
      </c>
      <c r="AO31" t="s">
        <v>275</v>
      </c>
      <c r="AP31" t="s">
        <v>275</v>
      </c>
      <c r="AQ31" t="s">
        <v>275</v>
      </c>
      <c r="AR31" t="s">
        <v>275</v>
      </c>
      <c r="AS31" t="s">
        <v>275</v>
      </c>
      <c r="AT31" t="s">
        <v>275</v>
      </c>
      <c r="AU31" t="s">
        <v>275</v>
      </c>
      <c r="AV31" t="s">
        <v>275</v>
      </c>
      <c r="AW31" t="s">
        <v>275</v>
      </c>
      <c r="AX31" t="s">
        <v>275</v>
      </c>
      <c r="AY31" t="s">
        <v>275</v>
      </c>
      <c r="AZ31" t="s">
        <v>275</v>
      </c>
      <c r="BA31" t="s">
        <v>275</v>
      </c>
      <c r="BB31" t="s">
        <v>275</v>
      </c>
      <c r="BC31" t="s">
        <v>275</v>
      </c>
      <c r="BD31" t="s">
        <v>275</v>
      </c>
      <c r="BE31" t="s">
        <v>275</v>
      </c>
      <c r="BF31" t="s">
        <v>275</v>
      </c>
      <c r="BG31" t="s">
        <v>275</v>
      </c>
      <c r="BH31" t="s">
        <v>275</v>
      </c>
      <c r="BI31" t="s">
        <v>275</v>
      </c>
      <c r="BJ31" t="s">
        <v>275</v>
      </c>
      <c r="BK31" s="675"/>
    </row>
    <row r="32" spans="1:63" x14ac:dyDescent="0.25">
      <c r="A32" s="11">
        <v>11500</v>
      </c>
      <c r="B32" s="5">
        <v>77</v>
      </c>
      <c r="C32">
        <v>76.325000000000003</v>
      </c>
      <c r="D32">
        <v>75.650000000000006</v>
      </c>
      <c r="E32">
        <v>74.974999999999994</v>
      </c>
      <c r="F32">
        <v>74.3</v>
      </c>
      <c r="G32">
        <v>73.625</v>
      </c>
      <c r="H32">
        <v>72.95</v>
      </c>
      <c r="I32">
        <v>72.275000000000006</v>
      </c>
      <c r="J32">
        <v>71.599999999999994</v>
      </c>
      <c r="K32">
        <v>70.924999999999997</v>
      </c>
      <c r="L32">
        <v>70.25</v>
      </c>
      <c r="M32">
        <v>70.25</v>
      </c>
      <c r="N32">
        <v>70.25</v>
      </c>
      <c r="O32">
        <v>70.25</v>
      </c>
      <c r="P32">
        <v>70.25</v>
      </c>
      <c r="Q32">
        <v>70.25</v>
      </c>
      <c r="R32">
        <v>70.25</v>
      </c>
      <c r="S32">
        <v>70.25</v>
      </c>
      <c r="T32">
        <v>70.25</v>
      </c>
      <c r="U32">
        <v>70.25</v>
      </c>
      <c r="V32">
        <v>70.25</v>
      </c>
      <c r="W32">
        <v>69.034999999999997</v>
      </c>
      <c r="X32">
        <v>67.819999999999993</v>
      </c>
      <c r="Y32">
        <v>66.605000000000004</v>
      </c>
      <c r="Z32">
        <v>65.39</v>
      </c>
      <c r="AA32">
        <v>64.174999999999997</v>
      </c>
      <c r="AB32">
        <v>62.96</v>
      </c>
      <c r="AC32">
        <v>61.744999999999997</v>
      </c>
      <c r="AD32">
        <v>60.53</v>
      </c>
      <c r="AE32">
        <v>59.314999999999998</v>
      </c>
      <c r="AF32">
        <v>58.1</v>
      </c>
      <c r="AG32">
        <v>57.515000000000001</v>
      </c>
      <c r="AH32">
        <v>56.930000000001101</v>
      </c>
      <c r="AI32" t="s">
        <v>275</v>
      </c>
      <c r="AJ32" t="s">
        <v>275</v>
      </c>
      <c r="AK32" t="s">
        <v>275</v>
      </c>
      <c r="AL32" t="s">
        <v>275</v>
      </c>
      <c r="AM32" t="s">
        <v>275</v>
      </c>
      <c r="AN32" t="s">
        <v>275</v>
      </c>
      <c r="AO32" t="s">
        <v>275</v>
      </c>
      <c r="AP32" t="s">
        <v>275</v>
      </c>
      <c r="AQ32" t="s">
        <v>275</v>
      </c>
      <c r="AR32" t="s">
        <v>275</v>
      </c>
      <c r="AS32" t="s">
        <v>275</v>
      </c>
      <c r="AT32" t="s">
        <v>275</v>
      </c>
      <c r="AU32" t="s">
        <v>275</v>
      </c>
      <c r="AV32" t="s">
        <v>275</v>
      </c>
      <c r="AW32" t="s">
        <v>275</v>
      </c>
      <c r="AX32" t="s">
        <v>275</v>
      </c>
      <c r="AY32" t="s">
        <v>275</v>
      </c>
      <c r="AZ32" t="s">
        <v>275</v>
      </c>
      <c r="BA32" t="s">
        <v>275</v>
      </c>
      <c r="BB32" t="s">
        <v>275</v>
      </c>
      <c r="BC32" t="s">
        <v>275</v>
      </c>
      <c r="BD32" t="s">
        <v>275</v>
      </c>
      <c r="BE32" t="s">
        <v>275</v>
      </c>
      <c r="BF32" t="s">
        <v>275</v>
      </c>
      <c r="BG32" t="s">
        <v>275</v>
      </c>
      <c r="BH32" t="s">
        <v>275</v>
      </c>
      <c r="BI32" t="s">
        <v>275</v>
      </c>
      <c r="BJ32" t="s">
        <v>275</v>
      </c>
      <c r="BK32" s="675"/>
    </row>
    <row r="33" spans="1:65" x14ac:dyDescent="0.25">
      <c r="A33" s="24">
        <v>12000</v>
      </c>
      <c r="B33" s="15">
        <v>74</v>
      </c>
      <c r="C33">
        <v>73.3</v>
      </c>
      <c r="D33">
        <v>72.599999999999994</v>
      </c>
      <c r="E33">
        <v>71.900000000000006</v>
      </c>
      <c r="F33">
        <v>71.2</v>
      </c>
      <c r="G33">
        <v>70.5</v>
      </c>
      <c r="H33">
        <v>69.8</v>
      </c>
      <c r="I33">
        <v>69.099999999999994</v>
      </c>
      <c r="J33">
        <v>68.400000000000006</v>
      </c>
      <c r="K33">
        <v>67.7</v>
      </c>
      <c r="L33" s="18">
        <v>67</v>
      </c>
      <c r="M33">
        <v>66.400000000000006</v>
      </c>
      <c r="N33">
        <v>65.8</v>
      </c>
      <c r="O33">
        <v>65.2</v>
      </c>
      <c r="P33">
        <v>64.599999999999994</v>
      </c>
      <c r="Q33">
        <v>64</v>
      </c>
      <c r="R33">
        <v>63.4</v>
      </c>
      <c r="S33">
        <v>62.8</v>
      </c>
      <c r="T33">
        <v>62.200000000000102</v>
      </c>
      <c r="U33">
        <v>61.600000000000101</v>
      </c>
      <c r="V33" s="18">
        <v>61.000000000000099</v>
      </c>
      <c r="W33" t="s">
        <v>275</v>
      </c>
      <c r="X33" t="s">
        <v>275</v>
      </c>
      <c r="Y33" t="s">
        <v>275</v>
      </c>
      <c r="Z33" t="s">
        <v>275</v>
      </c>
      <c r="AA33" t="s">
        <v>275</v>
      </c>
      <c r="AB33" t="s">
        <v>275</v>
      </c>
      <c r="AC33" t="s">
        <v>275</v>
      </c>
      <c r="AD33" t="s">
        <v>275</v>
      </c>
      <c r="AE33" t="s">
        <v>275</v>
      </c>
      <c r="AF33" s="18" t="s">
        <v>275</v>
      </c>
      <c r="AG33" t="s">
        <v>275</v>
      </c>
      <c r="AH33" t="s">
        <v>275</v>
      </c>
      <c r="AI33" t="s">
        <v>275</v>
      </c>
      <c r="AJ33" t="s">
        <v>275</v>
      </c>
      <c r="AK33" t="s">
        <v>275</v>
      </c>
      <c r="AL33" t="s">
        <v>275</v>
      </c>
      <c r="AM33" t="s">
        <v>275</v>
      </c>
      <c r="AN33" t="s">
        <v>275</v>
      </c>
      <c r="AO33" t="s">
        <v>275</v>
      </c>
      <c r="AP33" s="18" t="s">
        <v>275</v>
      </c>
      <c r="AQ33" t="s">
        <v>275</v>
      </c>
      <c r="AR33" t="s">
        <v>275</v>
      </c>
      <c r="AS33" t="s">
        <v>275</v>
      </c>
      <c r="AT33" t="s">
        <v>275</v>
      </c>
      <c r="AU33" t="s">
        <v>275</v>
      </c>
      <c r="AV33" t="s">
        <v>275</v>
      </c>
      <c r="AW33" t="s">
        <v>275</v>
      </c>
      <c r="AX33" t="s">
        <v>275</v>
      </c>
      <c r="AY33" t="s">
        <v>275</v>
      </c>
      <c r="AZ33" s="18" t="s">
        <v>275</v>
      </c>
      <c r="BA33" t="s">
        <v>275</v>
      </c>
      <c r="BB33" t="s">
        <v>275</v>
      </c>
      <c r="BC33" t="s">
        <v>275</v>
      </c>
      <c r="BD33" t="s">
        <v>275</v>
      </c>
      <c r="BE33" t="s">
        <v>275</v>
      </c>
      <c r="BF33" t="s">
        <v>275</v>
      </c>
      <c r="BG33" t="s">
        <v>275</v>
      </c>
      <c r="BH33" t="s">
        <v>275</v>
      </c>
      <c r="BI33" t="s">
        <v>275</v>
      </c>
      <c r="BJ33" s="21" t="s">
        <v>275</v>
      </c>
      <c r="BK33" s="675"/>
    </row>
    <row r="34" spans="1:65" x14ac:dyDescent="0.25">
      <c r="A34" s="11">
        <v>12500</v>
      </c>
      <c r="B34" s="5">
        <v>70.75</v>
      </c>
      <c r="C34">
        <v>70.025000000000006</v>
      </c>
      <c r="D34">
        <v>69.55</v>
      </c>
      <c r="E34">
        <v>68.825000000000003</v>
      </c>
      <c r="F34">
        <v>68.099999999999994</v>
      </c>
      <c r="G34">
        <v>67.375</v>
      </c>
      <c r="H34">
        <v>66.650000000000006</v>
      </c>
      <c r="I34">
        <v>65.924999999999997</v>
      </c>
      <c r="J34">
        <v>65.2</v>
      </c>
      <c r="K34">
        <v>64.474999999999994</v>
      </c>
      <c r="L34">
        <v>63.75</v>
      </c>
      <c r="M34">
        <v>62.55</v>
      </c>
      <c r="N34">
        <v>61.35</v>
      </c>
      <c r="O34">
        <v>60.15</v>
      </c>
      <c r="P34">
        <v>58.95</v>
      </c>
      <c r="Q34">
        <v>57.75</v>
      </c>
      <c r="R34" t="s">
        <v>275</v>
      </c>
      <c r="S34" t="s">
        <v>275</v>
      </c>
      <c r="T34" t="s">
        <v>275</v>
      </c>
      <c r="U34" t="s">
        <v>275</v>
      </c>
      <c r="V34" t="s">
        <v>275</v>
      </c>
      <c r="W34" t="s">
        <v>275</v>
      </c>
      <c r="X34" t="s">
        <v>275</v>
      </c>
      <c r="Y34" t="s">
        <v>275</v>
      </c>
      <c r="Z34" t="s">
        <v>275</v>
      </c>
      <c r="AA34" t="s">
        <v>275</v>
      </c>
      <c r="AB34" t="s">
        <v>275</v>
      </c>
      <c r="AC34" t="s">
        <v>275</v>
      </c>
      <c r="AD34" t="s">
        <v>275</v>
      </c>
      <c r="AE34" t="s">
        <v>275</v>
      </c>
      <c r="AF34" t="s">
        <v>275</v>
      </c>
      <c r="AG34" t="s">
        <v>275</v>
      </c>
      <c r="AH34" t="s">
        <v>275</v>
      </c>
      <c r="AI34" t="s">
        <v>275</v>
      </c>
      <c r="AJ34" t="s">
        <v>275</v>
      </c>
      <c r="AK34" t="s">
        <v>275</v>
      </c>
      <c r="AL34" t="s">
        <v>275</v>
      </c>
      <c r="AM34" t="s">
        <v>275</v>
      </c>
      <c r="AN34" t="s">
        <v>275</v>
      </c>
      <c r="AO34" t="s">
        <v>275</v>
      </c>
      <c r="AP34" t="s">
        <v>275</v>
      </c>
      <c r="AQ34" t="s">
        <v>275</v>
      </c>
      <c r="AR34" t="s">
        <v>275</v>
      </c>
      <c r="AS34" t="s">
        <v>275</v>
      </c>
      <c r="AT34" t="s">
        <v>275</v>
      </c>
      <c r="AU34" t="s">
        <v>275</v>
      </c>
      <c r="AV34" t="s">
        <v>275</v>
      </c>
      <c r="AW34" t="s">
        <v>275</v>
      </c>
      <c r="AX34" t="s">
        <v>275</v>
      </c>
      <c r="AY34" t="s">
        <v>275</v>
      </c>
      <c r="AZ34" t="s">
        <v>275</v>
      </c>
      <c r="BA34" t="s">
        <v>275</v>
      </c>
      <c r="BB34" t="s">
        <v>275</v>
      </c>
      <c r="BC34" t="s">
        <v>275</v>
      </c>
      <c r="BD34" t="s">
        <v>275</v>
      </c>
      <c r="BE34" t="s">
        <v>275</v>
      </c>
      <c r="BF34" t="s">
        <v>275</v>
      </c>
      <c r="BG34" t="s">
        <v>275</v>
      </c>
      <c r="BH34" t="s">
        <v>275</v>
      </c>
      <c r="BI34" t="s">
        <v>275</v>
      </c>
      <c r="BJ34" t="s">
        <v>275</v>
      </c>
      <c r="BK34" s="675"/>
    </row>
    <row r="35" spans="1:65" x14ac:dyDescent="0.25">
      <c r="A35" s="11">
        <v>13000</v>
      </c>
      <c r="B35" s="5">
        <v>67.5</v>
      </c>
      <c r="C35">
        <v>66.75</v>
      </c>
      <c r="D35">
        <v>66.5</v>
      </c>
      <c r="E35">
        <v>65.75</v>
      </c>
      <c r="F35">
        <v>65</v>
      </c>
      <c r="G35">
        <v>64.25</v>
      </c>
      <c r="H35">
        <v>63.5</v>
      </c>
      <c r="I35">
        <v>62.75</v>
      </c>
      <c r="J35">
        <v>62</v>
      </c>
      <c r="K35">
        <v>61.25</v>
      </c>
      <c r="L35">
        <v>60.5</v>
      </c>
      <c r="M35">
        <v>58.7</v>
      </c>
      <c r="N35" t="s">
        <v>275</v>
      </c>
      <c r="O35" t="s">
        <v>275</v>
      </c>
      <c r="P35" t="s">
        <v>275</v>
      </c>
      <c r="Q35" t="s">
        <v>275</v>
      </c>
      <c r="R35" t="s">
        <v>275</v>
      </c>
      <c r="S35" t="s">
        <v>275</v>
      </c>
      <c r="T35" t="s">
        <v>275</v>
      </c>
      <c r="U35" t="s">
        <v>275</v>
      </c>
      <c r="V35" t="s">
        <v>275</v>
      </c>
      <c r="W35" t="s">
        <v>275</v>
      </c>
      <c r="X35" t="s">
        <v>275</v>
      </c>
      <c r="Y35" t="s">
        <v>275</v>
      </c>
      <c r="Z35" t="s">
        <v>275</v>
      </c>
      <c r="AA35" t="s">
        <v>275</v>
      </c>
      <c r="AB35" t="s">
        <v>275</v>
      </c>
      <c r="AC35" t="s">
        <v>275</v>
      </c>
      <c r="AD35" t="s">
        <v>275</v>
      </c>
      <c r="AE35" t="s">
        <v>275</v>
      </c>
      <c r="AF35" t="s">
        <v>275</v>
      </c>
      <c r="AG35" t="s">
        <v>275</v>
      </c>
      <c r="AH35" t="s">
        <v>275</v>
      </c>
      <c r="AI35" t="s">
        <v>275</v>
      </c>
      <c r="AJ35" t="s">
        <v>275</v>
      </c>
      <c r="AK35" t="s">
        <v>275</v>
      </c>
      <c r="AL35" t="s">
        <v>275</v>
      </c>
      <c r="AM35" t="s">
        <v>275</v>
      </c>
      <c r="AN35" t="s">
        <v>275</v>
      </c>
      <c r="AO35" t="s">
        <v>275</v>
      </c>
      <c r="AP35" t="s">
        <v>275</v>
      </c>
      <c r="AQ35" t="s">
        <v>275</v>
      </c>
      <c r="AR35" t="s">
        <v>275</v>
      </c>
      <c r="AS35" t="s">
        <v>275</v>
      </c>
      <c r="AT35" t="s">
        <v>275</v>
      </c>
      <c r="AU35" t="s">
        <v>275</v>
      </c>
      <c r="AV35" t="s">
        <v>275</v>
      </c>
      <c r="AW35" t="s">
        <v>275</v>
      </c>
      <c r="AX35" t="s">
        <v>275</v>
      </c>
      <c r="AY35" t="s">
        <v>275</v>
      </c>
      <c r="AZ35" t="s">
        <v>275</v>
      </c>
      <c r="BA35" t="s">
        <v>275</v>
      </c>
      <c r="BB35" t="s">
        <v>275</v>
      </c>
      <c r="BC35" t="s">
        <v>275</v>
      </c>
      <c r="BD35" t="s">
        <v>275</v>
      </c>
      <c r="BE35" t="s">
        <v>275</v>
      </c>
      <c r="BF35" t="s">
        <v>275</v>
      </c>
      <c r="BG35" t="s">
        <v>275</v>
      </c>
      <c r="BH35" t="s">
        <v>275</v>
      </c>
      <c r="BI35" t="s">
        <v>275</v>
      </c>
      <c r="BJ35" t="s">
        <v>275</v>
      </c>
      <c r="BK35" s="675"/>
    </row>
    <row r="36" spans="1:65" x14ac:dyDescent="0.25">
      <c r="A36" s="11">
        <v>13500</v>
      </c>
      <c r="B36" s="5">
        <v>64.25</v>
      </c>
      <c r="C36">
        <v>63.475000000000001</v>
      </c>
      <c r="D36">
        <v>63.45</v>
      </c>
      <c r="E36">
        <v>62.674999999999997</v>
      </c>
      <c r="F36">
        <v>61.9</v>
      </c>
      <c r="G36">
        <v>61.125</v>
      </c>
      <c r="H36">
        <v>60.35</v>
      </c>
      <c r="I36">
        <v>59.575000000000003</v>
      </c>
      <c r="J36">
        <v>58.8</v>
      </c>
      <c r="K36">
        <v>58.024999999999999</v>
      </c>
      <c r="L36">
        <v>57.25</v>
      </c>
      <c r="M36" t="s">
        <v>275</v>
      </c>
      <c r="N36" t="s">
        <v>275</v>
      </c>
      <c r="O36" t="s">
        <v>275</v>
      </c>
      <c r="P36" t="s">
        <v>275</v>
      </c>
      <c r="Q36" t="s">
        <v>275</v>
      </c>
      <c r="R36" t="s">
        <v>275</v>
      </c>
      <c r="S36" t="s">
        <v>275</v>
      </c>
      <c r="T36" t="s">
        <v>275</v>
      </c>
      <c r="U36" t="s">
        <v>275</v>
      </c>
      <c r="V36" t="s">
        <v>275</v>
      </c>
      <c r="W36" t="s">
        <v>275</v>
      </c>
      <c r="X36" t="s">
        <v>275</v>
      </c>
      <c r="Y36" t="s">
        <v>275</v>
      </c>
      <c r="Z36" t="s">
        <v>275</v>
      </c>
      <c r="AA36" t="s">
        <v>275</v>
      </c>
      <c r="AB36" t="s">
        <v>275</v>
      </c>
      <c r="AC36" t="s">
        <v>275</v>
      </c>
      <c r="AD36" t="s">
        <v>275</v>
      </c>
      <c r="AE36" t="s">
        <v>275</v>
      </c>
      <c r="AF36" t="s">
        <v>275</v>
      </c>
      <c r="AG36" t="s">
        <v>275</v>
      </c>
      <c r="AH36" t="s">
        <v>275</v>
      </c>
      <c r="AI36" t="s">
        <v>275</v>
      </c>
      <c r="AJ36" t="s">
        <v>275</v>
      </c>
      <c r="AK36" t="s">
        <v>275</v>
      </c>
      <c r="AL36" t="s">
        <v>275</v>
      </c>
      <c r="AM36" t="s">
        <v>275</v>
      </c>
      <c r="AN36" t="s">
        <v>275</v>
      </c>
      <c r="AO36" t="s">
        <v>275</v>
      </c>
      <c r="AP36" t="s">
        <v>275</v>
      </c>
      <c r="AQ36" t="s">
        <v>275</v>
      </c>
      <c r="AR36" t="s">
        <v>275</v>
      </c>
      <c r="AS36" t="s">
        <v>275</v>
      </c>
      <c r="AT36" t="s">
        <v>275</v>
      </c>
      <c r="AU36" t="s">
        <v>275</v>
      </c>
      <c r="AV36" t="s">
        <v>275</v>
      </c>
      <c r="AW36" t="s">
        <v>275</v>
      </c>
      <c r="AX36" t="s">
        <v>275</v>
      </c>
      <c r="AY36" t="s">
        <v>275</v>
      </c>
      <c r="AZ36" t="s">
        <v>275</v>
      </c>
      <c r="BA36" t="s">
        <v>275</v>
      </c>
      <c r="BB36" t="s">
        <v>275</v>
      </c>
      <c r="BC36" t="s">
        <v>275</v>
      </c>
      <c r="BD36" t="s">
        <v>275</v>
      </c>
      <c r="BE36" t="s">
        <v>275</v>
      </c>
      <c r="BF36" t="s">
        <v>275</v>
      </c>
      <c r="BG36" t="s">
        <v>275</v>
      </c>
      <c r="BH36" t="s">
        <v>275</v>
      </c>
      <c r="BI36" t="s">
        <v>275</v>
      </c>
      <c r="BJ36" t="s">
        <v>275</v>
      </c>
      <c r="BK36" s="675"/>
    </row>
    <row r="37" spans="1:65" x14ac:dyDescent="0.25">
      <c r="A37" s="63">
        <v>14000</v>
      </c>
      <c r="B37" s="16">
        <v>61</v>
      </c>
      <c r="C37" s="8">
        <v>60.2</v>
      </c>
      <c r="D37" s="8">
        <v>60.399999999999899</v>
      </c>
      <c r="E37" s="8">
        <v>59.600000000000101</v>
      </c>
      <c r="F37">
        <v>58.8</v>
      </c>
      <c r="G37">
        <v>58</v>
      </c>
      <c r="H37" s="8">
        <v>57.2</v>
      </c>
      <c r="I37" s="8" t="s">
        <v>275</v>
      </c>
      <c r="J37" s="8" t="s">
        <v>275</v>
      </c>
      <c r="K37" s="8" t="s">
        <v>275</v>
      </c>
      <c r="L37" s="19" t="s">
        <v>275</v>
      </c>
      <c r="M37" s="8" t="s">
        <v>275</v>
      </c>
      <c r="N37" s="8" t="s">
        <v>275</v>
      </c>
      <c r="O37" s="8" t="s">
        <v>275</v>
      </c>
      <c r="P37" s="8" t="s">
        <v>275</v>
      </c>
      <c r="Q37" s="8" t="s">
        <v>275</v>
      </c>
      <c r="R37" s="8" t="s">
        <v>275</v>
      </c>
      <c r="S37" s="8" t="s">
        <v>275</v>
      </c>
      <c r="T37" s="8" t="s">
        <v>275</v>
      </c>
      <c r="U37" s="8" t="s">
        <v>275</v>
      </c>
      <c r="V37" s="19" t="s">
        <v>275</v>
      </c>
      <c r="W37" s="8" t="s">
        <v>275</v>
      </c>
      <c r="X37" s="8" t="s">
        <v>275</v>
      </c>
      <c r="Y37" s="8" t="s">
        <v>275</v>
      </c>
      <c r="Z37" s="8" t="s">
        <v>275</v>
      </c>
      <c r="AA37" s="8" t="s">
        <v>275</v>
      </c>
      <c r="AB37" s="8" t="s">
        <v>275</v>
      </c>
      <c r="AC37" s="8" t="s">
        <v>275</v>
      </c>
      <c r="AD37" s="8" t="s">
        <v>275</v>
      </c>
      <c r="AE37" s="8" t="s">
        <v>275</v>
      </c>
      <c r="AF37" s="19" t="s">
        <v>275</v>
      </c>
      <c r="AG37" s="8" t="s">
        <v>275</v>
      </c>
      <c r="AH37" s="8" t="s">
        <v>275</v>
      </c>
      <c r="AI37" s="8" t="s">
        <v>275</v>
      </c>
      <c r="AJ37" s="8" t="s">
        <v>275</v>
      </c>
      <c r="AK37" s="8" t="s">
        <v>275</v>
      </c>
      <c r="AL37" s="8" t="s">
        <v>275</v>
      </c>
      <c r="AM37" s="8" t="s">
        <v>275</v>
      </c>
      <c r="AN37" s="8" t="s">
        <v>275</v>
      </c>
      <c r="AO37" s="8" t="s">
        <v>275</v>
      </c>
      <c r="AP37" s="19" t="s">
        <v>275</v>
      </c>
      <c r="AQ37" s="8" t="s">
        <v>275</v>
      </c>
      <c r="AR37" s="8" t="s">
        <v>275</v>
      </c>
      <c r="AS37" s="8" t="s">
        <v>275</v>
      </c>
      <c r="AT37" s="8" t="s">
        <v>275</v>
      </c>
      <c r="AU37" s="8" t="s">
        <v>275</v>
      </c>
      <c r="AV37" s="8" t="s">
        <v>275</v>
      </c>
      <c r="AW37" s="8" t="s">
        <v>275</v>
      </c>
      <c r="AX37" s="8" t="s">
        <v>275</v>
      </c>
      <c r="AY37" s="8" t="s">
        <v>275</v>
      </c>
      <c r="AZ37" s="19" t="s">
        <v>275</v>
      </c>
      <c r="BA37" s="8" t="s">
        <v>275</v>
      </c>
      <c r="BB37" s="8" t="s">
        <v>275</v>
      </c>
      <c r="BC37" s="8" t="s">
        <v>275</v>
      </c>
      <c r="BD37" s="8" t="s">
        <v>275</v>
      </c>
      <c r="BE37" s="8" t="s">
        <v>275</v>
      </c>
      <c r="BF37" s="8" t="s">
        <v>275</v>
      </c>
      <c r="BG37" s="8" t="s">
        <v>275</v>
      </c>
      <c r="BH37" s="8" t="s">
        <v>275</v>
      </c>
      <c r="BI37" s="8" t="s">
        <v>275</v>
      </c>
      <c r="BJ37" s="20" t="s">
        <v>275</v>
      </c>
      <c r="BK37" s="675"/>
    </row>
    <row r="38" spans="1:65" x14ac:dyDescent="0.25">
      <c r="A38" s="11">
        <v>14500</v>
      </c>
      <c r="B38" s="5">
        <v>57.75</v>
      </c>
      <c r="C38">
        <v>56.924999999999997</v>
      </c>
      <c r="D38">
        <v>57.349999999999902</v>
      </c>
      <c r="E38" t="s">
        <v>275</v>
      </c>
      <c r="F38" s="3" t="s">
        <v>275</v>
      </c>
      <c r="G38" s="3" t="s">
        <v>275</v>
      </c>
      <c r="H38" s="3" t="s">
        <v>275</v>
      </c>
      <c r="I38" s="3" t="s">
        <v>275</v>
      </c>
      <c r="J38" s="3" t="s">
        <v>275</v>
      </c>
      <c r="K38" s="3" t="s">
        <v>275</v>
      </c>
      <c r="L38" s="3" t="s">
        <v>275</v>
      </c>
      <c r="M38" s="3" t="s">
        <v>275</v>
      </c>
      <c r="N38" s="3" t="s">
        <v>275</v>
      </c>
      <c r="O38" s="3" t="s">
        <v>275</v>
      </c>
      <c r="P38" s="3" t="s">
        <v>275</v>
      </c>
      <c r="Q38" s="3" t="s">
        <v>275</v>
      </c>
      <c r="R38" s="3" t="s">
        <v>275</v>
      </c>
      <c r="S38" s="3" t="s">
        <v>275</v>
      </c>
      <c r="T38" s="3" t="s">
        <v>275</v>
      </c>
      <c r="U38" s="3" t="s">
        <v>275</v>
      </c>
      <c r="V38" s="3" t="s">
        <v>275</v>
      </c>
      <c r="W38" s="3" t="s">
        <v>275</v>
      </c>
      <c r="X38" s="3" t="s">
        <v>275</v>
      </c>
      <c r="Y38" s="3" t="s">
        <v>275</v>
      </c>
      <c r="Z38" s="3" t="s">
        <v>275</v>
      </c>
      <c r="AA38" s="3" t="s">
        <v>275</v>
      </c>
      <c r="AB38" s="3" t="s">
        <v>275</v>
      </c>
      <c r="AC38" s="3" t="s">
        <v>275</v>
      </c>
      <c r="AD38" s="3" t="s">
        <v>275</v>
      </c>
      <c r="AE38" s="3" t="s">
        <v>275</v>
      </c>
      <c r="AF38" s="3" t="s">
        <v>275</v>
      </c>
      <c r="AG38" s="3" t="s">
        <v>275</v>
      </c>
      <c r="AH38" s="3" t="s">
        <v>275</v>
      </c>
      <c r="AI38" s="3" t="s">
        <v>275</v>
      </c>
      <c r="AJ38" s="3" t="s">
        <v>275</v>
      </c>
      <c r="AK38" s="3" t="s">
        <v>275</v>
      </c>
      <c r="AL38" s="3" t="s">
        <v>275</v>
      </c>
      <c r="AM38" s="3" t="s">
        <v>275</v>
      </c>
      <c r="AN38" s="3" t="s">
        <v>275</v>
      </c>
      <c r="AO38" s="3" t="s">
        <v>275</v>
      </c>
      <c r="AP38" s="3" t="s">
        <v>275</v>
      </c>
      <c r="AQ38" s="3" t="s">
        <v>275</v>
      </c>
      <c r="AR38" s="3" t="s">
        <v>275</v>
      </c>
      <c r="AS38" s="3" t="s">
        <v>275</v>
      </c>
      <c r="AT38" s="3" t="s">
        <v>275</v>
      </c>
      <c r="AU38" s="3" t="s">
        <v>275</v>
      </c>
      <c r="AV38" s="3" t="s">
        <v>275</v>
      </c>
      <c r="AW38" s="3" t="s">
        <v>275</v>
      </c>
      <c r="AX38" s="3" t="s">
        <v>275</v>
      </c>
      <c r="AY38" s="3" t="s">
        <v>275</v>
      </c>
      <c r="AZ38" s="3" t="s">
        <v>275</v>
      </c>
      <c r="BA38" s="3" t="s">
        <v>275</v>
      </c>
      <c r="BB38" s="3" t="s">
        <v>275</v>
      </c>
      <c r="BC38" s="3" t="s">
        <v>275</v>
      </c>
      <c r="BD38" s="3" t="s">
        <v>275</v>
      </c>
      <c r="BE38" s="3" t="s">
        <v>275</v>
      </c>
      <c r="BF38" s="3" t="s">
        <v>275</v>
      </c>
      <c r="BG38" s="3" t="s">
        <v>275</v>
      </c>
      <c r="BH38" s="3" t="s">
        <v>275</v>
      </c>
      <c r="BI38" s="3" t="s">
        <v>275</v>
      </c>
      <c r="BJ38" s="4" t="s">
        <v>275</v>
      </c>
      <c r="BK38" s="669" t="s">
        <v>271</v>
      </c>
      <c r="BL38" s="670"/>
      <c r="BM38" s="671"/>
    </row>
    <row r="39" spans="1:65" x14ac:dyDescent="0.25">
      <c r="A39" s="12">
        <v>15000</v>
      </c>
      <c r="B39" s="8" t="s">
        <v>275</v>
      </c>
      <c r="C39" s="8" t="s">
        <v>275</v>
      </c>
      <c r="D39" s="8" t="s">
        <v>275</v>
      </c>
      <c r="E39" s="8" t="s">
        <v>275</v>
      </c>
      <c r="F39" s="8" t="s">
        <v>275</v>
      </c>
      <c r="G39" s="8" t="s">
        <v>275</v>
      </c>
      <c r="H39" s="8" t="s">
        <v>275</v>
      </c>
      <c r="I39" s="8" t="s">
        <v>275</v>
      </c>
      <c r="J39" s="8" t="s">
        <v>275</v>
      </c>
      <c r="K39" s="8" t="s">
        <v>275</v>
      </c>
      <c r="L39" s="8" t="s">
        <v>275</v>
      </c>
      <c r="M39" s="8" t="s">
        <v>275</v>
      </c>
      <c r="N39" s="8" t="s">
        <v>275</v>
      </c>
      <c r="O39" s="8" t="s">
        <v>275</v>
      </c>
      <c r="P39" s="8" t="s">
        <v>275</v>
      </c>
      <c r="Q39" s="8" t="s">
        <v>275</v>
      </c>
      <c r="R39" s="8" t="s">
        <v>275</v>
      </c>
      <c r="S39" s="8" t="s">
        <v>275</v>
      </c>
      <c r="T39" s="8" t="s">
        <v>275</v>
      </c>
      <c r="U39" s="8" t="s">
        <v>275</v>
      </c>
      <c r="V39" s="8" t="s">
        <v>275</v>
      </c>
      <c r="W39" s="8" t="s">
        <v>275</v>
      </c>
      <c r="X39" s="8" t="s">
        <v>275</v>
      </c>
      <c r="Y39" s="8" t="s">
        <v>275</v>
      </c>
      <c r="Z39" s="8" t="s">
        <v>275</v>
      </c>
      <c r="AA39" s="8" t="s">
        <v>275</v>
      </c>
      <c r="AB39" s="8" t="s">
        <v>275</v>
      </c>
      <c r="AC39" s="8" t="s">
        <v>275</v>
      </c>
      <c r="AD39" s="8" t="s">
        <v>275</v>
      </c>
      <c r="AE39" s="8" t="s">
        <v>275</v>
      </c>
      <c r="AF39" s="8" t="s">
        <v>275</v>
      </c>
      <c r="AG39" s="8" t="s">
        <v>275</v>
      </c>
      <c r="AH39" s="8" t="s">
        <v>275</v>
      </c>
      <c r="AI39" s="8" t="s">
        <v>275</v>
      </c>
      <c r="AJ39" s="8" t="s">
        <v>275</v>
      </c>
      <c r="AK39" s="8" t="s">
        <v>275</v>
      </c>
      <c r="AL39" s="8" t="s">
        <v>275</v>
      </c>
      <c r="AM39" s="8" t="s">
        <v>275</v>
      </c>
      <c r="AN39" s="8" t="s">
        <v>275</v>
      </c>
      <c r="AO39" s="8" t="s">
        <v>275</v>
      </c>
      <c r="AP39" s="8" t="s">
        <v>275</v>
      </c>
      <c r="AQ39" s="8" t="s">
        <v>275</v>
      </c>
      <c r="AR39" s="8" t="s">
        <v>275</v>
      </c>
      <c r="AS39" s="8" t="s">
        <v>275</v>
      </c>
      <c r="AT39" s="8" t="s">
        <v>275</v>
      </c>
      <c r="AU39" s="8" t="s">
        <v>275</v>
      </c>
      <c r="AV39" s="8" t="s">
        <v>275</v>
      </c>
      <c r="AW39" s="8" t="s">
        <v>275</v>
      </c>
      <c r="AX39" s="8" t="s">
        <v>275</v>
      </c>
      <c r="AY39" s="8" t="s">
        <v>275</v>
      </c>
      <c r="AZ39" s="8" t="s">
        <v>275</v>
      </c>
      <c r="BA39" s="8" t="s">
        <v>275</v>
      </c>
      <c r="BB39" s="8" t="s">
        <v>275</v>
      </c>
      <c r="BC39" s="8" t="s">
        <v>275</v>
      </c>
      <c r="BD39" s="8" t="s">
        <v>275</v>
      </c>
      <c r="BE39" s="8" t="s">
        <v>275</v>
      </c>
      <c r="BF39" s="8" t="s">
        <v>275</v>
      </c>
      <c r="BG39" s="8" t="s">
        <v>275</v>
      </c>
      <c r="BH39" s="8" t="s">
        <v>275</v>
      </c>
      <c r="BI39" s="8" t="s">
        <v>275</v>
      </c>
      <c r="BJ39" s="8" t="s">
        <v>275</v>
      </c>
      <c r="BK39" s="677"/>
      <c r="BL39" s="678"/>
      <c r="BM39" s="679"/>
    </row>
  </sheetData>
  <sheetProtection algorithmName="SHA-512" hashValue="4+hGzRcQqofMgOSs/xboeUvohzI9tdkortOcSLnBH3cGk/YBUnQnlGTo79Q4vq6nD4a1A1fSXUR4LjdLTz6Mow==" saltValue="x6mujQCKLJKCpTaPkQNcpQ==" spinCount="100000" sheet="1" objects="1" scenarios="1" selectLockedCells="1" selectUnlockedCells="1"/>
  <mergeCells count="5">
    <mergeCell ref="BK7:BK37"/>
    <mergeCell ref="BK38:BM39"/>
    <mergeCell ref="A3:C3"/>
    <mergeCell ref="G3:H3"/>
    <mergeCell ref="B7:BJ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/>
  <dimension ref="B1:CB12"/>
  <sheetViews>
    <sheetView workbookViewId="0">
      <selection activeCell="J6" sqref="J6"/>
    </sheetView>
  </sheetViews>
  <sheetFormatPr baseColWidth="10" defaultColWidth="10.7109375" defaultRowHeight="15" x14ac:dyDescent="0.25"/>
  <sheetData>
    <row r="1" spans="2:80" x14ac:dyDescent="0.25">
      <c r="B1" s="684" t="s">
        <v>191</v>
      </c>
      <c r="C1" s="685"/>
      <c r="D1" s="685"/>
      <c r="E1" s="685"/>
      <c r="F1" s="685"/>
      <c r="G1" s="685"/>
      <c r="H1" s="685"/>
      <c r="I1" s="686"/>
      <c r="J1" s="5"/>
    </row>
    <row r="2" spans="2:80" x14ac:dyDescent="0.25">
      <c r="B2" s="121" t="s">
        <v>276</v>
      </c>
      <c r="C2" s="123" t="s">
        <v>277</v>
      </c>
      <c r="D2" s="121" t="s">
        <v>278</v>
      </c>
      <c r="E2" s="113" t="s">
        <v>279</v>
      </c>
      <c r="F2" s="123" t="s">
        <v>280</v>
      </c>
      <c r="G2" s="113" t="s">
        <v>109</v>
      </c>
      <c r="H2" s="113" t="s">
        <v>199</v>
      </c>
      <c r="I2" s="113" t="s">
        <v>201</v>
      </c>
    </row>
    <row r="3" spans="2:80" x14ac:dyDescent="0.25">
      <c r="B3" s="124">
        <f>'R22 beta II'!R10</f>
        <v>0.1639999999999997</v>
      </c>
      <c r="C3" s="62">
        <f>'R22 beta II'!R8</f>
        <v>0</v>
      </c>
      <c r="D3" s="62" t="e">
        <f>'Perfo HOGE'!S25</f>
        <v>#DIV/0!</v>
      </c>
      <c r="E3" s="124">
        <f>37-B3</f>
        <v>36.835999999999999</v>
      </c>
      <c r="F3" s="62">
        <f>37-C3</f>
        <v>37</v>
      </c>
      <c r="G3" s="62">
        <f>'R22 beta II'!Q13</f>
        <v>1013</v>
      </c>
      <c r="H3" s="62">
        <f>'R22 beta II'!Q14</f>
        <v>0</v>
      </c>
      <c r="I3" s="62">
        <f>SpecData!E38</f>
        <v>27</v>
      </c>
    </row>
    <row r="4" spans="2:80" ht="15.75" thickBot="1" x14ac:dyDescent="0.3"/>
    <row r="5" spans="2:80" x14ac:dyDescent="0.25">
      <c r="F5" s="682" t="s">
        <v>281</v>
      </c>
      <c r="G5" s="683"/>
    </row>
    <row r="6" spans="2:80" ht="15.75" thickBot="1" x14ac:dyDescent="0.3">
      <c r="F6" s="132" t="s">
        <v>34</v>
      </c>
      <c r="G6" s="133" t="s">
        <v>282</v>
      </c>
    </row>
    <row r="7" spans="2:80" ht="15.75" thickBot="1" x14ac:dyDescent="0.3">
      <c r="D7" s="116" t="s">
        <v>283</v>
      </c>
      <c r="E7" s="117"/>
      <c r="F7" s="130">
        <f>IF(C3&gt;B3,IF(F3&lt;2,"TableLimit",VLOOKUP(14000,D12:CB12,F3,)),IF(F3&lt;2,"TableLimit",VLOOKUP(14000,D12:CB12,E3,)))</f>
        <v>13891</v>
      </c>
      <c r="G7" s="131">
        <f>IF(H3&gt;0,F7+((G3-1013)*D3),F7+((G3-1013)*I3))</f>
        <v>13891</v>
      </c>
    </row>
    <row r="8" spans="2:80" x14ac:dyDescent="0.25">
      <c r="D8" s="114"/>
      <c r="F8" s="115"/>
    </row>
    <row r="10" spans="2:80" x14ac:dyDescent="0.25">
      <c r="D10" s="680" t="s">
        <v>284</v>
      </c>
      <c r="E10" s="128" t="s">
        <v>285</v>
      </c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</row>
    <row r="11" spans="2:80" ht="15.75" thickBot="1" x14ac:dyDescent="0.3">
      <c r="D11" s="681"/>
      <c r="E11" s="118" t="s">
        <v>286</v>
      </c>
      <c r="F11" s="119" t="s">
        <v>287</v>
      </c>
      <c r="G11" s="120" t="s">
        <v>288</v>
      </c>
      <c r="H11" s="119" t="s">
        <v>289</v>
      </c>
      <c r="I11" s="120" t="s">
        <v>290</v>
      </c>
      <c r="J11" s="119" t="s">
        <v>291</v>
      </c>
      <c r="K11" s="120" t="s">
        <v>292</v>
      </c>
      <c r="L11" s="119" t="s">
        <v>293</v>
      </c>
      <c r="M11" s="120" t="s">
        <v>294</v>
      </c>
      <c r="N11" s="119" t="s">
        <v>295</v>
      </c>
      <c r="O11" s="120" t="s">
        <v>296</v>
      </c>
      <c r="P11" s="119" t="s">
        <v>297</v>
      </c>
      <c r="Q11" s="120" t="s">
        <v>298</v>
      </c>
      <c r="R11" s="119" t="s">
        <v>299</v>
      </c>
      <c r="S11" s="120" t="s">
        <v>300</v>
      </c>
      <c r="T11" s="119" t="s">
        <v>301</v>
      </c>
      <c r="U11" s="120" t="s">
        <v>302</v>
      </c>
      <c r="V11" s="119" t="s">
        <v>303</v>
      </c>
      <c r="W11" s="120" t="s">
        <v>304</v>
      </c>
      <c r="X11" s="119" t="s">
        <v>305</v>
      </c>
      <c r="Y11" s="120" t="s">
        <v>306</v>
      </c>
      <c r="Z11" s="119" t="s">
        <v>307</v>
      </c>
      <c r="AA11" s="120" t="s">
        <v>308</v>
      </c>
      <c r="AB11" s="119" t="s">
        <v>309</v>
      </c>
      <c r="AC11" s="120" t="s">
        <v>310</v>
      </c>
      <c r="AD11" s="119" t="s">
        <v>311</v>
      </c>
      <c r="AE11" s="120" t="s">
        <v>312</v>
      </c>
      <c r="AF11" s="119" t="s">
        <v>313</v>
      </c>
      <c r="AG11" s="120" t="s">
        <v>314</v>
      </c>
      <c r="AH11" s="119" t="s">
        <v>315</v>
      </c>
      <c r="AI11" s="120" t="s">
        <v>316</v>
      </c>
      <c r="AJ11" s="119" t="s">
        <v>317</v>
      </c>
      <c r="AK11" s="120" t="s">
        <v>318</v>
      </c>
      <c r="AL11" s="119" t="s">
        <v>319</v>
      </c>
      <c r="AM11" s="120" t="s">
        <v>320</v>
      </c>
      <c r="AN11" s="119" t="s">
        <v>321</v>
      </c>
      <c r="AO11" s="120" t="s">
        <v>322</v>
      </c>
      <c r="AP11" s="119" t="s">
        <v>323</v>
      </c>
      <c r="AQ11" s="120" t="s">
        <v>324</v>
      </c>
      <c r="AR11" s="119" t="s">
        <v>325</v>
      </c>
      <c r="AS11" s="120" t="s">
        <v>326</v>
      </c>
      <c r="AT11" s="119" t="s">
        <v>327</v>
      </c>
      <c r="AU11" s="120" t="s">
        <v>328</v>
      </c>
      <c r="AV11" s="119" t="s">
        <v>329</v>
      </c>
      <c r="AW11" s="120" t="s">
        <v>330</v>
      </c>
      <c r="AX11" s="119" t="s">
        <v>331</v>
      </c>
      <c r="AY11" s="120" t="s">
        <v>332</v>
      </c>
      <c r="AZ11" s="119" t="s">
        <v>333</v>
      </c>
      <c r="BA11" s="120" t="s">
        <v>334</v>
      </c>
      <c r="BB11" s="119" t="s">
        <v>335</v>
      </c>
      <c r="BC11" s="120" t="s">
        <v>336</v>
      </c>
      <c r="BD11" s="119" t="s">
        <v>337</v>
      </c>
      <c r="BE11" s="120" t="s">
        <v>338</v>
      </c>
      <c r="BF11" s="119" t="s">
        <v>339</v>
      </c>
      <c r="BG11" s="120" t="s">
        <v>340</v>
      </c>
      <c r="BH11" s="119" t="s">
        <v>341</v>
      </c>
      <c r="BI11" s="120" t="s">
        <v>342</v>
      </c>
      <c r="BJ11" s="119" t="s">
        <v>343</v>
      </c>
      <c r="BK11" s="120" t="s">
        <v>344</v>
      </c>
      <c r="BL11" s="119" t="s">
        <v>345</v>
      </c>
      <c r="BM11" s="120" t="s">
        <v>346</v>
      </c>
      <c r="BN11" s="120" t="s">
        <v>347</v>
      </c>
      <c r="BO11" s="119" t="s">
        <v>348</v>
      </c>
      <c r="BP11" s="120" t="s">
        <v>349</v>
      </c>
      <c r="BQ11" s="119" t="s">
        <v>350</v>
      </c>
      <c r="BR11" s="120" t="s">
        <v>351</v>
      </c>
      <c r="BS11" s="119" t="s">
        <v>352</v>
      </c>
      <c r="BT11" s="120" t="s">
        <v>353</v>
      </c>
      <c r="BU11" s="119" t="s">
        <v>354</v>
      </c>
      <c r="BV11" s="120" t="s">
        <v>355</v>
      </c>
      <c r="BW11" s="119" t="s">
        <v>356</v>
      </c>
      <c r="BX11" s="120" t="s">
        <v>357</v>
      </c>
      <c r="BY11" s="119" t="s">
        <v>358</v>
      </c>
      <c r="BZ11" s="120" t="s">
        <v>359</v>
      </c>
      <c r="CA11" s="119" t="s">
        <v>360</v>
      </c>
      <c r="CB11" s="120" t="s">
        <v>361</v>
      </c>
    </row>
    <row r="12" spans="2:80" ht="15.75" thickTop="1" x14ac:dyDescent="0.25">
      <c r="D12" s="10">
        <v>14000</v>
      </c>
      <c r="E12" s="125">
        <v>10182</v>
      </c>
      <c r="F12" s="126">
        <v>10291</v>
      </c>
      <c r="G12" s="126">
        <v>10400</v>
      </c>
      <c r="H12" s="126">
        <v>10509</v>
      </c>
      <c r="I12" s="126">
        <v>10618</v>
      </c>
      <c r="J12" s="126">
        <v>10727</v>
      </c>
      <c r="K12" s="126">
        <v>10836</v>
      </c>
      <c r="L12" s="126">
        <v>10945</v>
      </c>
      <c r="M12" s="126">
        <v>11054</v>
      </c>
      <c r="N12" s="126">
        <v>11163</v>
      </c>
      <c r="O12" s="126">
        <v>11272</v>
      </c>
      <c r="P12" s="126">
        <v>11381.2</v>
      </c>
      <c r="Q12" s="126">
        <v>11490.4</v>
      </c>
      <c r="R12" s="126">
        <v>11599.6</v>
      </c>
      <c r="S12" s="126">
        <v>11708.8</v>
      </c>
      <c r="T12" s="126">
        <v>11818</v>
      </c>
      <c r="U12" s="126">
        <v>11927</v>
      </c>
      <c r="V12" s="126">
        <v>12036</v>
      </c>
      <c r="W12" s="126">
        <v>12145</v>
      </c>
      <c r="X12" s="126">
        <v>12254</v>
      </c>
      <c r="Y12" s="126">
        <v>12363</v>
      </c>
      <c r="Z12" s="126">
        <v>12472.2</v>
      </c>
      <c r="AA12" s="126">
        <v>12581.4</v>
      </c>
      <c r="AB12" s="126">
        <v>12690.6</v>
      </c>
      <c r="AC12" s="126">
        <v>12799.8</v>
      </c>
      <c r="AD12" s="126">
        <v>12909</v>
      </c>
      <c r="AE12" s="126">
        <v>13018.2</v>
      </c>
      <c r="AF12" s="126">
        <v>13127.4</v>
      </c>
      <c r="AG12" s="126">
        <v>13236.6</v>
      </c>
      <c r="AH12" s="126">
        <v>13345.8</v>
      </c>
      <c r="AI12" s="126">
        <v>13455</v>
      </c>
      <c r="AJ12" s="126">
        <v>13564</v>
      </c>
      <c r="AK12" s="126">
        <v>13673</v>
      </c>
      <c r="AL12" s="126">
        <v>13782</v>
      </c>
      <c r="AM12" s="126">
        <v>13891</v>
      </c>
      <c r="AN12" s="126">
        <v>14000</v>
      </c>
      <c r="AO12" s="126">
        <v>14127.2</v>
      </c>
      <c r="AP12" s="126">
        <v>14254.4</v>
      </c>
      <c r="AQ12" s="126">
        <v>14381.6</v>
      </c>
      <c r="AR12" s="126">
        <v>14508.8</v>
      </c>
      <c r="AS12" s="126">
        <v>14636</v>
      </c>
      <c r="AT12" s="126">
        <v>14763.4</v>
      </c>
      <c r="AU12" s="126">
        <v>14890.8</v>
      </c>
      <c r="AV12" s="126">
        <v>15018.2</v>
      </c>
      <c r="AW12" s="126">
        <v>15145.6</v>
      </c>
      <c r="AX12" s="126">
        <v>15273</v>
      </c>
      <c r="AY12" s="126">
        <v>15396.6</v>
      </c>
      <c r="AZ12" s="126">
        <v>15520.2</v>
      </c>
      <c r="BA12" s="126">
        <v>15643.8</v>
      </c>
      <c r="BB12" s="126">
        <v>15767.4</v>
      </c>
      <c r="BC12" s="126">
        <v>15891</v>
      </c>
      <c r="BD12" s="126">
        <v>16021.8</v>
      </c>
      <c r="BE12" s="126">
        <v>16152.6</v>
      </c>
      <c r="BF12" s="126">
        <v>16283.4</v>
      </c>
      <c r="BG12" s="126">
        <v>16414.2</v>
      </c>
      <c r="BH12" s="126">
        <v>16545</v>
      </c>
      <c r="BI12" s="126">
        <v>16656</v>
      </c>
      <c r="BJ12" s="126">
        <v>16767</v>
      </c>
      <c r="BK12" s="126">
        <v>16878</v>
      </c>
      <c r="BL12" s="126">
        <v>16989</v>
      </c>
      <c r="BM12" s="126">
        <v>17100</v>
      </c>
      <c r="BN12" s="126">
        <v>17200</v>
      </c>
      <c r="BO12" s="126">
        <v>17300</v>
      </c>
      <c r="BP12" s="126">
        <v>17400</v>
      </c>
      <c r="BQ12" s="126">
        <v>17500</v>
      </c>
      <c r="BR12" s="126">
        <v>17600</v>
      </c>
      <c r="BS12" s="126">
        <v>17720</v>
      </c>
      <c r="BT12" s="126">
        <v>17840</v>
      </c>
      <c r="BU12" s="126">
        <v>17960</v>
      </c>
      <c r="BV12" s="126">
        <v>18080</v>
      </c>
      <c r="BW12" s="126">
        <v>18200</v>
      </c>
      <c r="BX12" s="126">
        <v>18320</v>
      </c>
      <c r="BY12" s="126">
        <v>18440</v>
      </c>
      <c r="BZ12" s="126">
        <v>18560</v>
      </c>
      <c r="CA12" s="126">
        <v>18680</v>
      </c>
      <c r="CB12" s="127">
        <v>18800</v>
      </c>
    </row>
  </sheetData>
  <sheetProtection algorithmName="SHA-512" hashValue="xjDGa+jzLgkxMT33xU5Z2bcnSMG162fSpHrDhYTpI/tHiqr8rMyNU1y5W0azC9O7IVK1jxwwAOWi2j2FV2ZMog==" saltValue="jEHB7H3HCgLwFFf+fiMf1A==" spinCount="100000" sheet="1" objects="1" scenarios="1" selectLockedCells="1" selectUnlockedCells="1"/>
  <mergeCells count="3">
    <mergeCell ref="D10:D11"/>
    <mergeCell ref="F5:G5"/>
    <mergeCell ref="B1:I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2</vt:i4>
      </vt:variant>
    </vt:vector>
  </HeadingPairs>
  <TitlesOfParts>
    <vt:vector size="10" baseType="lpstr">
      <vt:lpstr>R22 beta II</vt:lpstr>
      <vt:lpstr>PreFlightMOU</vt:lpstr>
      <vt:lpstr>SpecData</vt:lpstr>
      <vt:lpstr>Perfo HOGE</vt:lpstr>
      <vt:lpstr>Perfo HIGE</vt:lpstr>
      <vt:lpstr>Power</vt:lpstr>
      <vt:lpstr>VNE</vt:lpstr>
      <vt:lpstr>OPCeiling</vt:lpstr>
      <vt:lpstr>PreFlightMOU!Zone_d_impression</vt:lpstr>
      <vt:lpstr>'R22 beta II'!Zone_d_impression</vt:lpstr>
    </vt:vector>
  </TitlesOfParts>
  <Manager/>
  <Company>Perrin &amp; Spaeth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Jérôme Lovey</dc:creator>
  <cp:keywords/>
  <dc:description/>
  <cp:lastModifiedBy>Jérôme</cp:lastModifiedBy>
  <cp:revision/>
  <dcterms:created xsi:type="dcterms:W3CDTF">2014-07-16T12:08:38Z</dcterms:created>
  <dcterms:modified xsi:type="dcterms:W3CDTF">2020-01-15T16:00:47Z</dcterms:modified>
  <cp:category/>
  <cp:contentStatus/>
</cp:coreProperties>
</file>